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Q:\Finances Communales\1. Péréquations\NPIV 2025\Decompte\7. Décompte final\"/>
    </mc:Choice>
  </mc:AlternateContent>
  <xr:revisionPtr revIDLastSave="0" documentId="13_ncr:1_{9D9C66F0-E713-48B1-A11D-5A200A7D5F97}" xr6:coauthVersionLast="47" xr6:coauthVersionMax="47" xr10:uidLastSave="{00000000-0000-0000-0000-000000000000}"/>
  <bookViews>
    <workbookView xWindow="-120" yWindow="-120" windowWidth="29040" windowHeight="15720" tabRatio="1000" xr2:uid="{E3323243-2D95-41FA-A8F2-9D8F1668BA21}"/>
  </bookViews>
  <sheets>
    <sheet name="Table des matières" sheetId="56" r:id="rId1"/>
    <sheet name="Paramètres" sheetId="50" r:id="rId2"/>
    <sheet name="Données" sheetId="53" r:id="rId3"/>
    <sheet name="RFS" sheetId="2" r:id="rId4"/>
    <sheet name="Ressources" sheetId="3" r:id="rId5"/>
    <sheet name="Besoins structurels" sheetId="9" r:id="rId6"/>
    <sheet name="Charges des villes" sheetId="21" r:id="rId7"/>
    <sheet name="PCS" sheetId="4" r:id="rId8"/>
    <sheet name="Police" sheetId="29" r:id="rId9"/>
    <sheet name="Synthèse" sheetId="55" r:id="rId10"/>
    <sheet name="Synthèse par commune" sheetId="57" r:id="rId11"/>
    <sheet name="Détail par commune" sheetId="45" r:id="rId12"/>
    <sheet name="Données par commune" sheetId="59" r:id="rId13"/>
    <sheet name="Prévisionnel" sheetId="60" state="hidden" r:id="rId14"/>
  </sheets>
  <externalReferences>
    <externalReference r:id="rId15"/>
    <externalReference r:id="rId16"/>
  </externalReferences>
  <definedNames>
    <definedName name="_DH01V01">#REF!</definedName>
    <definedName name="_DH02V01">#REF!</definedName>
    <definedName name="_DH03V01">#REF!</definedName>
    <definedName name="_xlnm._FilterDatabase" localSheetId="5" hidden="1">'Besoins structurels'!$A$7:$V$7</definedName>
    <definedName name="_xlnm._FilterDatabase" localSheetId="6" hidden="1">'Charges des villes'!$A$7:$N$308</definedName>
    <definedName name="_xlnm._FilterDatabase" localSheetId="7" hidden="1">PCS!$A$7:$D$7</definedName>
    <definedName name="_xlnm._FilterDatabase" localSheetId="8" hidden="1">Police!$A$7:$U$7</definedName>
    <definedName name="_xlnm._FilterDatabase" localSheetId="13" hidden="1">Prévisionnel!$A$7:$C$7</definedName>
    <definedName name="_xlnm._FilterDatabase" localSheetId="9" hidden="1">Synthèse!$A$7:$C$7</definedName>
    <definedName name="_H01">#REF!</definedName>
    <definedName name="_H02">#REF!</definedName>
    <definedName name="_H03">#REF!</definedName>
    <definedName name="_N01">#REF!</definedName>
    <definedName name="_N02">#REF!</definedName>
    <definedName name="_N03">#REF!</definedName>
    <definedName name="_V01">#REF!</definedName>
    <definedName name="AS_Bereich">#REF!</definedName>
    <definedName name="_xlnm.Database" localSheetId="0">#REF!</definedName>
    <definedName name="_xlnm.Database">#REF!</definedName>
    <definedName name="_xlnm.Print_Titles" localSheetId="2">Données!$1:$7</definedName>
    <definedName name="_xlnm.Print_Titles" localSheetId="4">Ressources!$1:$7</definedName>
    <definedName name="_xlnm.Print_Titles" localSheetId="3">RFS!$1:$7</definedName>
    <definedName name="ind">2</definedName>
    <definedName name="o">'[1]Kantone SfproE 2004-09'!$A$22:$M$47</definedName>
    <definedName name="ooo">'[2]Kantone SfproE 2004-09'!$A$22:$M$47</definedName>
    <definedName name="sfproe_csv">#REF!</definedName>
    <definedName name="Sortierbereich">#REF!</definedName>
    <definedName name="Sortierbereichtemp">#REF!</definedName>
    <definedName name="SortierungLC">#REF!</definedName>
    <definedName name="_xlnm.Print_Area" localSheetId="11">'Détail par commune'!$A$1:$U$38</definedName>
    <definedName name="_xlnm.Print_Area" localSheetId="12">'Données par commune'!$A$1:$I$23</definedName>
    <definedName name="_xlnm.Print_Area" localSheetId="10">'Synthèse par commune'!$A$1:$H$33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309" i="9" l="1"/>
  <c r="B25" i="45"/>
  <c r="Q86" i="9" l="1"/>
  <c r="K10" i="50"/>
  <c r="K20" i="50"/>
  <c r="D306" i="2"/>
  <c r="D267" i="53"/>
  <c r="Q73" i="9"/>
  <c r="D266" i="53" l="1"/>
  <c r="W9" i="53" l="1"/>
  <c r="W10" i="53"/>
  <c r="W11" i="53"/>
  <c r="W12" i="53"/>
  <c r="W13" i="53"/>
  <c r="W14" i="53"/>
  <c r="W15" i="53"/>
  <c r="W16" i="53"/>
  <c r="W17" i="53"/>
  <c r="W18" i="53"/>
  <c r="W19" i="53"/>
  <c r="W20" i="53"/>
  <c r="W21" i="53"/>
  <c r="W22" i="53"/>
  <c r="W23" i="53"/>
  <c r="W24" i="53"/>
  <c r="W25" i="53"/>
  <c r="W26" i="53"/>
  <c r="W27" i="53"/>
  <c r="W28" i="53"/>
  <c r="W29" i="53"/>
  <c r="W30" i="53"/>
  <c r="W31" i="53"/>
  <c r="W32" i="53"/>
  <c r="W33" i="53"/>
  <c r="W34" i="53"/>
  <c r="W35" i="53"/>
  <c r="W36" i="53"/>
  <c r="W37" i="53"/>
  <c r="W38" i="53"/>
  <c r="W39" i="53"/>
  <c r="W40" i="53"/>
  <c r="W41" i="53"/>
  <c r="W42" i="53"/>
  <c r="W43" i="53"/>
  <c r="W44" i="53"/>
  <c r="W45" i="53"/>
  <c r="W46" i="53"/>
  <c r="W47" i="53"/>
  <c r="W48" i="53"/>
  <c r="W49" i="53"/>
  <c r="W50" i="53"/>
  <c r="W51" i="53"/>
  <c r="W52" i="53"/>
  <c r="W53" i="53"/>
  <c r="W54" i="53"/>
  <c r="W55" i="53"/>
  <c r="W56" i="53"/>
  <c r="W57" i="53"/>
  <c r="W58" i="53"/>
  <c r="W59" i="53"/>
  <c r="W60" i="53"/>
  <c r="W61" i="53"/>
  <c r="W62" i="53"/>
  <c r="W63" i="53"/>
  <c r="W64" i="53"/>
  <c r="W65" i="53"/>
  <c r="W66" i="53"/>
  <c r="W67" i="53"/>
  <c r="W68" i="53"/>
  <c r="W69" i="53"/>
  <c r="W70" i="53"/>
  <c r="W71" i="53"/>
  <c r="W72" i="53"/>
  <c r="W73" i="53"/>
  <c r="W74" i="53"/>
  <c r="W75" i="53"/>
  <c r="W76" i="53"/>
  <c r="W77" i="53"/>
  <c r="W78" i="53"/>
  <c r="W79" i="53"/>
  <c r="W80" i="53"/>
  <c r="W81" i="53"/>
  <c r="W82" i="53"/>
  <c r="W83" i="53"/>
  <c r="W84" i="53"/>
  <c r="W85" i="53"/>
  <c r="W86" i="53"/>
  <c r="W87" i="53"/>
  <c r="W88" i="53"/>
  <c r="W89" i="53"/>
  <c r="W90" i="53"/>
  <c r="W91" i="53"/>
  <c r="W92" i="53"/>
  <c r="W93" i="53"/>
  <c r="W94" i="53"/>
  <c r="W95" i="53"/>
  <c r="W96" i="53"/>
  <c r="W97" i="53"/>
  <c r="W98" i="53"/>
  <c r="W99" i="53"/>
  <c r="W100" i="53"/>
  <c r="W101" i="53"/>
  <c r="W102" i="53"/>
  <c r="W103" i="53"/>
  <c r="W104" i="53"/>
  <c r="W105" i="53"/>
  <c r="W106" i="53"/>
  <c r="W107" i="53"/>
  <c r="W108" i="53"/>
  <c r="W109" i="53"/>
  <c r="W110" i="53"/>
  <c r="W111" i="53"/>
  <c r="W112" i="53"/>
  <c r="W113" i="53"/>
  <c r="W114" i="53"/>
  <c r="W115" i="53"/>
  <c r="W116" i="53"/>
  <c r="W117" i="53"/>
  <c r="W118" i="53"/>
  <c r="W119" i="53"/>
  <c r="W120" i="53"/>
  <c r="W121" i="53"/>
  <c r="W122" i="53"/>
  <c r="W123" i="53"/>
  <c r="W124" i="53"/>
  <c r="W125" i="53"/>
  <c r="W126" i="53"/>
  <c r="W127" i="53"/>
  <c r="W128" i="53"/>
  <c r="W129" i="53"/>
  <c r="W130" i="53"/>
  <c r="W131" i="53"/>
  <c r="W132" i="53"/>
  <c r="W133" i="53"/>
  <c r="W134" i="53"/>
  <c r="W135" i="53"/>
  <c r="W136" i="53"/>
  <c r="W137" i="53"/>
  <c r="W138" i="53"/>
  <c r="W139" i="53"/>
  <c r="W140" i="53"/>
  <c r="W141" i="53"/>
  <c r="W142" i="53"/>
  <c r="W143" i="53"/>
  <c r="W144" i="53"/>
  <c r="W145" i="53"/>
  <c r="W146" i="53"/>
  <c r="W147" i="53"/>
  <c r="W148" i="53"/>
  <c r="W149" i="53"/>
  <c r="W150" i="53"/>
  <c r="W151" i="53"/>
  <c r="W152" i="53"/>
  <c r="W153" i="53"/>
  <c r="W154" i="53"/>
  <c r="W155" i="53"/>
  <c r="W156" i="53"/>
  <c r="W157" i="53"/>
  <c r="W158" i="53"/>
  <c r="W159" i="53"/>
  <c r="W160" i="53"/>
  <c r="W161" i="53"/>
  <c r="W162" i="53"/>
  <c r="W163" i="53"/>
  <c r="W164" i="53"/>
  <c r="W165" i="53"/>
  <c r="W166" i="53"/>
  <c r="W167" i="53"/>
  <c r="W168" i="53"/>
  <c r="W169" i="53"/>
  <c r="W170" i="53"/>
  <c r="W171" i="53"/>
  <c r="W172" i="53"/>
  <c r="W173" i="53"/>
  <c r="W174" i="53"/>
  <c r="W175" i="53"/>
  <c r="W176" i="53"/>
  <c r="W177" i="53"/>
  <c r="W178" i="53"/>
  <c r="W179" i="53"/>
  <c r="W180" i="53"/>
  <c r="W181" i="53"/>
  <c r="W182" i="53"/>
  <c r="W183" i="53"/>
  <c r="W184" i="53"/>
  <c r="W185" i="53"/>
  <c r="W186" i="53"/>
  <c r="W187" i="53"/>
  <c r="W188" i="53"/>
  <c r="W189" i="53"/>
  <c r="W190" i="53"/>
  <c r="W191" i="53"/>
  <c r="W192" i="53"/>
  <c r="W193" i="53"/>
  <c r="W194" i="53"/>
  <c r="W195" i="53"/>
  <c r="W196" i="53"/>
  <c r="W197" i="53"/>
  <c r="W198" i="53"/>
  <c r="W199" i="53"/>
  <c r="W200" i="53"/>
  <c r="W201" i="53"/>
  <c r="W202" i="53"/>
  <c r="W203" i="53"/>
  <c r="W204" i="53"/>
  <c r="W205" i="53"/>
  <c r="W206" i="53"/>
  <c r="W207" i="53"/>
  <c r="W208" i="53"/>
  <c r="W209" i="53"/>
  <c r="W210" i="53"/>
  <c r="W211" i="53"/>
  <c r="W212" i="53"/>
  <c r="W213" i="53"/>
  <c r="W214" i="53"/>
  <c r="W215" i="53"/>
  <c r="W216" i="53"/>
  <c r="W217" i="53"/>
  <c r="W218" i="53"/>
  <c r="W219" i="53"/>
  <c r="W220" i="53"/>
  <c r="W221" i="53"/>
  <c r="W222" i="53"/>
  <c r="W223" i="53"/>
  <c r="W224" i="53"/>
  <c r="W225" i="53"/>
  <c r="W226" i="53"/>
  <c r="W227" i="53"/>
  <c r="W228" i="53"/>
  <c r="W229" i="53"/>
  <c r="W230" i="53"/>
  <c r="W231" i="53"/>
  <c r="W232" i="53"/>
  <c r="W233" i="53"/>
  <c r="W234" i="53"/>
  <c r="W235" i="53"/>
  <c r="W236" i="53"/>
  <c r="W237" i="53"/>
  <c r="W238" i="53"/>
  <c r="W239" i="53"/>
  <c r="W240" i="53"/>
  <c r="W241" i="53"/>
  <c r="W242" i="53"/>
  <c r="W243" i="53"/>
  <c r="W244" i="53"/>
  <c r="W245" i="53"/>
  <c r="W246" i="53"/>
  <c r="W247" i="53"/>
  <c r="W248" i="53"/>
  <c r="W249" i="53"/>
  <c r="W250" i="53"/>
  <c r="W251" i="53"/>
  <c r="W252" i="53"/>
  <c r="W253" i="53"/>
  <c r="W254" i="53"/>
  <c r="W255" i="53"/>
  <c r="W256" i="53"/>
  <c r="W257" i="53"/>
  <c r="W258" i="53"/>
  <c r="W259" i="53"/>
  <c r="W260" i="53"/>
  <c r="W261" i="53"/>
  <c r="W262" i="53"/>
  <c r="W263" i="53"/>
  <c r="W264" i="53"/>
  <c r="W265" i="53"/>
  <c r="W266" i="53"/>
  <c r="W267" i="53"/>
  <c r="W268" i="53"/>
  <c r="W269" i="53"/>
  <c r="W270" i="53"/>
  <c r="W271" i="53"/>
  <c r="W272" i="53"/>
  <c r="W273" i="53"/>
  <c r="W274" i="53"/>
  <c r="W275" i="53"/>
  <c r="W276" i="53"/>
  <c r="W277" i="53"/>
  <c r="W278" i="53"/>
  <c r="W279" i="53"/>
  <c r="W280" i="53"/>
  <c r="W281" i="53"/>
  <c r="W282" i="53"/>
  <c r="W283" i="53"/>
  <c r="W284" i="53"/>
  <c r="W285" i="53"/>
  <c r="W286" i="53"/>
  <c r="W287" i="53"/>
  <c r="W288" i="53"/>
  <c r="W289" i="53"/>
  <c r="W290" i="53"/>
  <c r="W291" i="53"/>
  <c r="W292" i="53"/>
  <c r="W293" i="53"/>
  <c r="W294" i="53"/>
  <c r="W295" i="53"/>
  <c r="W296" i="53"/>
  <c r="W297" i="53"/>
  <c r="W298" i="53"/>
  <c r="W299" i="53"/>
  <c r="W300" i="53"/>
  <c r="W301" i="53"/>
  <c r="W302" i="53"/>
  <c r="W303" i="53"/>
  <c r="W304" i="53"/>
  <c r="W305" i="53"/>
  <c r="W306" i="53"/>
  <c r="W307" i="53"/>
  <c r="W8" i="53"/>
  <c r="O311" i="53"/>
  <c r="C47" i="21" l="1"/>
  <c r="P47" i="21"/>
  <c r="F139" i="53" l="1"/>
  <c r="E313" i="53" l="1"/>
  <c r="E312" i="53"/>
  <c r="E311" i="53"/>
  <c r="E314" i="53"/>
  <c r="E317" i="53"/>
  <c r="O312" i="53" l="1"/>
  <c r="P312" i="53" s="1"/>
  <c r="O313" i="53"/>
  <c r="P313" i="53" s="1"/>
  <c r="O314" i="53"/>
  <c r="P314" i="53" s="1"/>
  <c r="O315" i="53"/>
  <c r="O316" i="53"/>
  <c r="P316" i="53" s="1"/>
  <c r="O317" i="53"/>
  <c r="P317" i="53" s="1"/>
  <c r="P311" i="53"/>
  <c r="P318" i="53" l="1"/>
  <c r="O319" i="53"/>
  <c r="P315" i="53"/>
  <c r="P319" i="53" s="1"/>
  <c r="O318" i="53"/>
  <c r="G30" i="57"/>
  <c r="G27" i="57"/>
  <c r="G26" i="57"/>
  <c r="G24" i="57"/>
  <c r="G22" i="57"/>
  <c r="G19" i="57"/>
  <c r="G17" i="57"/>
  <c r="G16" i="57"/>
  <c r="G15" i="57"/>
  <c r="G13" i="57"/>
  <c r="G12" i="57"/>
  <c r="G11" i="57"/>
  <c r="G10" i="57"/>
  <c r="G8" i="57"/>
  <c r="G7" i="57"/>
  <c r="G6" i="57"/>
  <c r="G5" i="57"/>
  <c r="W308" i="60"/>
  <c r="Q318" i="53" l="1"/>
  <c r="Q319" i="53"/>
  <c r="G28" i="57"/>
  <c r="N308" i="53" l="1"/>
  <c r="Q4" i="50"/>
  <c r="O5" i="50"/>
  <c r="C17" i="50" l="1"/>
  <c r="F3" i="59" l="1"/>
  <c r="H14" i="59" s="1"/>
  <c r="H10" i="59" l="1"/>
  <c r="H17" i="59"/>
  <c r="H13" i="59"/>
  <c r="H12" i="59"/>
  <c r="H19" i="59"/>
  <c r="H11" i="59"/>
  <c r="H9" i="59"/>
  <c r="H7" i="59"/>
  <c r="H8" i="59"/>
  <c r="H6" i="59"/>
  <c r="D17" i="59"/>
  <c r="D6" i="59"/>
  <c r="D18" i="59"/>
  <c r="D19" i="59"/>
  <c r="D20" i="59"/>
  <c r="D12" i="59"/>
  <c r="D22" i="59"/>
  <c r="D10" i="59"/>
  <c r="D16" i="59"/>
  <c r="D11" i="59"/>
  <c r="D13" i="59"/>
  <c r="D21" i="59"/>
  <c r="D7" i="59"/>
  <c r="D15" i="59"/>
  <c r="D8" i="59"/>
  <c r="D9" i="59"/>
  <c r="A17" i="50" l="1"/>
  <c r="P9" i="21" l="1"/>
  <c r="Q9" i="21"/>
  <c r="P10" i="21"/>
  <c r="Q10" i="21"/>
  <c r="P11" i="21"/>
  <c r="Q11" i="21"/>
  <c r="P12" i="21"/>
  <c r="Q12" i="21"/>
  <c r="P13" i="21"/>
  <c r="Q13" i="21"/>
  <c r="P14" i="21"/>
  <c r="Q14" i="21"/>
  <c r="P15" i="21"/>
  <c r="Q15" i="21"/>
  <c r="P16" i="21"/>
  <c r="Q16" i="21"/>
  <c r="P17" i="21"/>
  <c r="Q17" i="21"/>
  <c r="P18" i="21"/>
  <c r="Q18" i="21"/>
  <c r="P19" i="21"/>
  <c r="Q19" i="21"/>
  <c r="P20" i="21"/>
  <c r="Q20" i="21"/>
  <c r="P21" i="21"/>
  <c r="Q21" i="21"/>
  <c r="P22" i="21"/>
  <c r="Q22" i="21"/>
  <c r="P23" i="21"/>
  <c r="Q23" i="21"/>
  <c r="P24" i="21"/>
  <c r="Q24" i="21"/>
  <c r="P25" i="21"/>
  <c r="Q25" i="21"/>
  <c r="P26" i="21"/>
  <c r="Q26" i="21"/>
  <c r="P27" i="21"/>
  <c r="Q27" i="21"/>
  <c r="P28" i="21"/>
  <c r="Q28" i="21"/>
  <c r="P29" i="21"/>
  <c r="Q29" i="21"/>
  <c r="P30" i="21"/>
  <c r="Q30" i="21"/>
  <c r="P31" i="21"/>
  <c r="Q31" i="21"/>
  <c r="P32" i="21"/>
  <c r="Q32" i="21"/>
  <c r="P33" i="21"/>
  <c r="Q33" i="21"/>
  <c r="P34" i="21"/>
  <c r="Q34" i="21"/>
  <c r="P35" i="21"/>
  <c r="Q35" i="21"/>
  <c r="P36" i="21"/>
  <c r="Q36" i="21"/>
  <c r="P37" i="21"/>
  <c r="Q37" i="21"/>
  <c r="P38" i="21"/>
  <c r="Q38" i="21"/>
  <c r="P39" i="21"/>
  <c r="Q39" i="21"/>
  <c r="P40" i="21"/>
  <c r="Q40" i="21"/>
  <c r="P41" i="21"/>
  <c r="Q41" i="21"/>
  <c r="P42" i="21"/>
  <c r="Q42" i="21"/>
  <c r="P43" i="21"/>
  <c r="Q43" i="21"/>
  <c r="P44" i="21"/>
  <c r="Q44" i="21"/>
  <c r="P45" i="21"/>
  <c r="Q45" i="21"/>
  <c r="P46" i="21"/>
  <c r="Q46" i="21"/>
  <c r="Q47" i="21"/>
  <c r="P48" i="21"/>
  <c r="Q48" i="21"/>
  <c r="P49" i="21"/>
  <c r="Q49" i="21"/>
  <c r="P50" i="21"/>
  <c r="Q50" i="21"/>
  <c r="P51" i="21"/>
  <c r="Q51" i="21"/>
  <c r="P52" i="21"/>
  <c r="Q52" i="21"/>
  <c r="P53" i="21"/>
  <c r="Q53" i="21"/>
  <c r="P54" i="21"/>
  <c r="Q54" i="21"/>
  <c r="P55" i="21"/>
  <c r="Q55" i="21"/>
  <c r="P56" i="21"/>
  <c r="Q56" i="21"/>
  <c r="P57" i="21"/>
  <c r="Q57" i="21"/>
  <c r="P58" i="21"/>
  <c r="Q58" i="21"/>
  <c r="P59" i="21"/>
  <c r="Q59" i="21"/>
  <c r="P60" i="21"/>
  <c r="Q60" i="21"/>
  <c r="P61" i="21"/>
  <c r="Q61" i="21"/>
  <c r="P62" i="21"/>
  <c r="Q62" i="21"/>
  <c r="P63" i="21"/>
  <c r="Q63" i="21"/>
  <c r="P64" i="21"/>
  <c r="Q64" i="21"/>
  <c r="P65" i="21"/>
  <c r="Q65" i="21"/>
  <c r="P66" i="21"/>
  <c r="Q66" i="21"/>
  <c r="P67" i="21"/>
  <c r="Q67" i="21"/>
  <c r="P68" i="21"/>
  <c r="Q68" i="21"/>
  <c r="P69" i="21"/>
  <c r="Q69" i="21"/>
  <c r="P70" i="21"/>
  <c r="Q70" i="21"/>
  <c r="P71" i="21"/>
  <c r="Q71" i="21"/>
  <c r="P72" i="21"/>
  <c r="Q72" i="21"/>
  <c r="P73" i="21"/>
  <c r="Q73" i="21"/>
  <c r="P74" i="21"/>
  <c r="Q74" i="21"/>
  <c r="P75" i="21"/>
  <c r="Q75" i="21"/>
  <c r="P76" i="21"/>
  <c r="Q76" i="21"/>
  <c r="P77" i="21"/>
  <c r="Q77" i="21"/>
  <c r="P78" i="21"/>
  <c r="Q78" i="21"/>
  <c r="P79" i="21"/>
  <c r="Q79" i="21"/>
  <c r="P80" i="21"/>
  <c r="Q80" i="21"/>
  <c r="P81" i="21"/>
  <c r="Q81" i="21"/>
  <c r="P82" i="21"/>
  <c r="Q82" i="21"/>
  <c r="P83" i="21"/>
  <c r="Q83" i="21"/>
  <c r="P84" i="21"/>
  <c r="Q84" i="21"/>
  <c r="P85" i="21"/>
  <c r="Q85" i="21"/>
  <c r="P86" i="21"/>
  <c r="Q86" i="21"/>
  <c r="P87" i="21"/>
  <c r="Q87" i="21"/>
  <c r="P88" i="21"/>
  <c r="Q88" i="21"/>
  <c r="P89" i="21"/>
  <c r="Q89" i="21"/>
  <c r="P90" i="21"/>
  <c r="Q90" i="21"/>
  <c r="P91" i="21"/>
  <c r="Q91" i="21"/>
  <c r="P92" i="21"/>
  <c r="Q92" i="21"/>
  <c r="P93" i="21"/>
  <c r="Q93" i="21"/>
  <c r="P94" i="21"/>
  <c r="Q94" i="21"/>
  <c r="P95" i="21"/>
  <c r="Q95" i="21"/>
  <c r="P96" i="21"/>
  <c r="Q96" i="21"/>
  <c r="P97" i="21"/>
  <c r="Q97" i="21"/>
  <c r="P98" i="21"/>
  <c r="Q98" i="21"/>
  <c r="P99" i="21"/>
  <c r="Q99" i="21"/>
  <c r="P100" i="21"/>
  <c r="Q100" i="21"/>
  <c r="P101" i="21"/>
  <c r="Q101" i="21"/>
  <c r="P102" i="21"/>
  <c r="Q102" i="21"/>
  <c r="P103" i="21"/>
  <c r="Q103" i="21"/>
  <c r="P104" i="21"/>
  <c r="Q104" i="21"/>
  <c r="P105" i="21"/>
  <c r="Q105" i="21"/>
  <c r="P106" i="21"/>
  <c r="Q106" i="21"/>
  <c r="P107" i="21"/>
  <c r="Q107" i="21"/>
  <c r="P108" i="21"/>
  <c r="Q108" i="21"/>
  <c r="P109" i="21"/>
  <c r="Q109" i="21"/>
  <c r="P110" i="21"/>
  <c r="Q110" i="21"/>
  <c r="P111" i="21"/>
  <c r="Q111" i="21"/>
  <c r="P112" i="21"/>
  <c r="Q112" i="21"/>
  <c r="P113" i="21"/>
  <c r="Q113" i="21"/>
  <c r="P114" i="21"/>
  <c r="Q114" i="21"/>
  <c r="P115" i="21"/>
  <c r="Q115" i="21"/>
  <c r="P116" i="21"/>
  <c r="Q116" i="21"/>
  <c r="P117" i="21"/>
  <c r="Q117" i="21"/>
  <c r="P118" i="21"/>
  <c r="Q118" i="21"/>
  <c r="P119" i="21"/>
  <c r="Q119" i="21"/>
  <c r="P120" i="21"/>
  <c r="Q120" i="21"/>
  <c r="P121" i="21"/>
  <c r="Q121" i="21"/>
  <c r="P122" i="21"/>
  <c r="Q122" i="21"/>
  <c r="P123" i="21"/>
  <c r="Q123" i="21"/>
  <c r="P124" i="21"/>
  <c r="Q124" i="21"/>
  <c r="P125" i="21"/>
  <c r="Q125" i="21"/>
  <c r="P126" i="21"/>
  <c r="Q126" i="21"/>
  <c r="P127" i="21"/>
  <c r="Q127" i="21"/>
  <c r="P128" i="21"/>
  <c r="Q128" i="21"/>
  <c r="P129" i="21"/>
  <c r="Q129" i="21"/>
  <c r="P130" i="21"/>
  <c r="Q130" i="21"/>
  <c r="P131" i="21"/>
  <c r="Q131" i="21"/>
  <c r="P132" i="21"/>
  <c r="Q132" i="21"/>
  <c r="P133" i="21"/>
  <c r="Q133" i="21"/>
  <c r="P134" i="21"/>
  <c r="Q134" i="21"/>
  <c r="P135" i="21"/>
  <c r="Q135" i="21"/>
  <c r="P136" i="21"/>
  <c r="Q136" i="21"/>
  <c r="P137" i="21"/>
  <c r="Q137" i="21"/>
  <c r="P138" i="21"/>
  <c r="Q138" i="21"/>
  <c r="P139" i="21"/>
  <c r="Q139" i="21"/>
  <c r="P140" i="21"/>
  <c r="Q140" i="21"/>
  <c r="P141" i="21"/>
  <c r="Q141" i="21"/>
  <c r="P142" i="21"/>
  <c r="Q142" i="21"/>
  <c r="P143" i="21"/>
  <c r="Q143" i="21"/>
  <c r="P144" i="21"/>
  <c r="Q144" i="21"/>
  <c r="P145" i="21"/>
  <c r="Q145" i="21"/>
  <c r="P146" i="21"/>
  <c r="Q146" i="21"/>
  <c r="P147" i="21"/>
  <c r="Q147" i="21"/>
  <c r="P148" i="21"/>
  <c r="Q148" i="21"/>
  <c r="P149" i="21"/>
  <c r="Q149" i="21"/>
  <c r="P150" i="21"/>
  <c r="Q150" i="21"/>
  <c r="P151" i="21"/>
  <c r="Q151" i="21"/>
  <c r="P152" i="21"/>
  <c r="Q152" i="21"/>
  <c r="P153" i="21"/>
  <c r="Q153" i="21"/>
  <c r="P154" i="21"/>
  <c r="Q154" i="21"/>
  <c r="P155" i="21"/>
  <c r="Q155" i="21"/>
  <c r="P156" i="21"/>
  <c r="Q156" i="21"/>
  <c r="P157" i="21"/>
  <c r="Q157" i="21"/>
  <c r="P158" i="21"/>
  <c r="Q158" i="21"/>
  <c r="P159" i="21"/>
  <c r="Q159" i="21"/>
  <c r="P160" i="21"/>
  <c r="Q160" i="21"/>
  <c r="P161" i="21"/>
  <c r="Q161" i="21"/>
  <c r="P162" i="21"/>
  <c r="Q162" i="21"/>
  <c r="P163" i="21"/>
  <c r="Q163" i="21"/>
  <c r="P164" i="21"/>
  <c r="Q164" i="21"/>
  <c r="P165" i="21"/>
  <c r="Q165" i="21"/>
  <c r="P166" i="21"/>
  <c r="Q166" i="21"/>
  <c r="P167" i="21"/>
  <c r="Q167" i="21"/>
  <c r="P168" i="21"/>
  <c r="Q168" i="21"/>
  <c r="P169" i="21"/>
  <c r="Q169" i="21"/>
  <c r="P170" i="21"/>
  <c r="Q170" i="21"/>
  <c r="P171" i="21"/>
  <c r="Q171" i="21"/>
  <c r="P172" i="21"/>
  <c r="Q172" i="21"/>
  <c r="P173" i="21"/>
  <c r="Q173" i="21"/>
  <c r="P174" i="21"/>
  <c r="Q174" i="21"/>
  <c r="P175" i="21"/>
  <c r="Q175" i="21"/>
  <c r="P176" i="21"/>
  <c r="Q176" i="21"/>
  <c r="P177" i="21"/>
  <c r="Q177" i="21"/>
  <c r="P178" i="21"/>
  <c r="Q178" i="21"/>
  <c r="P179" i="21"/>
  <c r="Q179" i="21"/>
  <c r="P180" i="21"/>
  <c r="Q180" i="21"/>
  <c r="P181" i="21"/>
  <c r="Q181" i="21"/>
  <c r="P182" i="21"/>
  <c r="Q182" i="21"/>
  <c r="P183" i="21"/>
  <c r="Q183" i="21"/>
  <c r="P184" i="21"/>
  <c r="Q184" i="21"/>
  <c r="P185" i="21"/>
  <c r="Q185" i="21"/>
  <c r="P186" i="21"/>
  <c r="Q186" i="21"/>
  <c r="P187" i="21"/>
  <c r="Q187" i="21"/>
  <c r="P188" i="21"/>
  <c r="Q188" i="21"/>
  <c r="P189" i="21"/>
  <c r="Q189" i="21"/>
  <c r="P190" i="21"/>
  <c r="Q190" i="21"/>
  <c r="P191" i="21"/>
  <c r="Q191" i="21"/>
  <c r="P192" i="21"/>
  <c r="Q192" i="21"/>
  <c r="P193" i="21"/>
  <c r="Q193" i="21"/>
  <c r="P194" i="21"/>
  <c r="Q194" i="21"/>
  <c r="P195" i="21"/>
  <c r="Q195" i="21"/>
  <c r="P196" i="21"/>
  <c r="Q196" i="21"/>
  <c r="P197" i="21"/>
  <c r="Q197" i="21"/>
  <c r="P198" i="21"/>
  <c r="Q198" i="21"/>
  <c r="P199" i="21"/>
  <c r="Q199" i="21"/>
  <c r="P200" i="21"/>
  <c r="Q200" i="21"/>
  <c r="P201" i="21"/>
  <c r="Q201" i="21"/>
  <c r="P202" i="21"/>
  <c r="Q202" i="21"/>
  <c r="P203" i="21"/>
  <c r="Q203" i="21"/>
  <c r="P204" i="21"/>
  <c r="Q204" i="21"/>
  <c r="P205" i="21"/>
  <c r="Q205" i="21"/>
  <c r="P206" i="21"/>
  <c r="Q206" i="21"/>
  <c r="P207" i="21"/>
  <c r="Q207" i="21"/>
  <c r="P208" i="21"/>
  <c r="Q208" i="21"/>
  <c r="P209" i="21"/>
  <c r="Q209" i="21"/>
  <c r="P210" i="21"/>
  <c r="Q210" i="21"/>
  <c r="P211" i="21"/>
  <c r="Q211" i="21"/>
  <c r="P212" i="21"/>
  <c r="Q212" i="21"/>
  <c r="P213" i="21"/>
  <c r="Q213" i="21"/>
  <c r="P214" i="21"/>
  <c r="Q214" i="21"/>
  <c r="P215" i="21"/>
  <c r="Q215" i="21"/>
  <c r="P216" i="21"/>
  <c r="Q216" i="21"/>
  <c r="P217" i="21"/>
  <c r="Q217" i="21"/>
  <c r="P218" i="21"/>
  <c r="Q218" i="21"/>
  <c r="P219" i="21"/>
  <c r="Q219" i="21"/>
  <c r="P220" i="21"/>
  <c r="Q220" i="21"/>
  <c r="P221" i="21"/>
  <c r="Q221" i="21"/>
  <c r="P222" i="21"/>
  <c r="Q222" i="21"/>
  <c r="P223" i="21"/>
  <c r="Q223" i="21"/>
  <c r="P224" i="21"/>
  <c r="Q224" i="21"/>
  <c r="P225" i="21"/>
  <c r="Q225" i="21"/>
  <c r="P226" i="21"/>
  <c r="Q226" i="21"/>
  <c r="P227" i="21"/>
  <c r="Q227" i="21"/>
  <c r="P228" i="21"/>
  <c r="Q228" i="21"/>
  <c r="P229" i="21"/>
  <c r="Q229" i="21"/>
  <c r="P230" i="21"/>
  <c r="Q230" i="21"/>
  <c r="P231" i="21"/>
  <c r="Q231" i="21"/>
  <c r="P232" i="21"/>
  <c r="Q232" i="21"/>
  <c r="P233" i="21"/>
  <c r="Q233" i="21"/>
  <c r="P234" i="21"/>
  <c r="Q234" i="21"/>
  <c r="P235" i="21"/>
  <c r="Q235" i="21"/>
  <c r="P236" i="21"/>
  <c r="Q236" i="21"/>
  <c r="P237" i="21"/>
  <c r="Q237" i="21"/>
  <c r="P238" i="21"/>
  <c r="Q238" i="21"/>
  <c r="P239" i="21"/>
  <c r="Q239" i="21"/>
  <c r="P240" i="21"/>
  <c r="Q240" i="21"/>
  <c r="P241" i="21"/>
  <c r="Q241" i="21"/>
  <c r="P242" i="21"/>
  <c r="Q242" i="21"/>
  <c r="P243" i="21"/>
  <c r="Q243" i="21"/>
  <c r="P244" i="21"/>
  <c r="Q244" i="21"/>
  <c r="P245" i="21"/>
  <c r="Q245" i="21"/>
  <c r="P246" i="21"/>
  <c r="Q246" i="21"/>
  <c r="P247" i="21"/>
  <c r="Q247" i="21"/>
  <c r="P248" i="21"/>
  <c r="Q248" i="21"/>
  <c r="P249" i="21"/>
  <c r="Q249" i="21"/>
  <c r="P250" i="21"/>
  <c r="Q250" i="21"/>
  <c r="P251" i="21"/>
  <c r="Q251" i="21"/>
  <c r="P252" i="21"/>
  <c r="Q252" i="21"/>
  <c r="P253" i="21"/>
  <c r="Q253" i="21"/>
  <c r="P254" i="21"/>
  <c r="Q254" i="21"/>
  <c r="P255" i="21"/>
  <c r="Q255" i="21"/>
  <c r="P256" i="21"/>
  <c r="Q256" i="21"/>
  <c r="P257" i="21"/>
  <c r="Q257" i="21"/>
  <c r="P258" i="21"/>
  <c r="Q258" i="21"/>
  <c r="P259" i="21"/>
  <c r="Q259" i="21"/>
  <c r="P260" i="21"/>
  <c r="Q260" i="21"/>
  <c r="P261" i="21"/>
  <c r="Q261" i="21"/>
  <c r="P262" i="21"/>
  <c r="Q262" i="21"/>
  <c r="P263" i="21"/>
  <c r="Q263" i="21"/>
  <c r="P264" i="21"/>
  <c r="Q264" i="21"/>
  <c r="P265" i="21"/>
  <c r="Q265" i="21"/>
  <c r="P266" i="21"/>
  <c r="Q266" i="21"/>
  <c r="P267" i="21"/>
  <c r="Q267" i="21"/>
  <c r="P268" i="21"/>
  <c r="Q268" i="21"/>
  <c r="P269" i="21"/>
  <c r="Q269" i="21"/>
  <c r="P270" i="21"/>
  <c r="Q270" i="21"/>
  <c r="P271" i="21"/>
  <c r="Q271" i="21"/>
  <c r="P272" i="21"/>
  <c r="Q272" i="21"/>
  <c r="P273" i="21"/>
  <c r="Q273" i="21"/>
  <c r="P274" i="21"/>
  <c r="Q274" i="21"/>
  <c r="P275" i="21"/>
  <c r="Q275" i="21"/>
  <c r="P276" i="21"/>
  <c r="Q276" i="21"/>
  <c r="P277" i="21"/>
  <c r="Q277" i="21"/>
  <c r="P278" i="21"/>
  <c r="Q278" i="21"/>
  <c r="P279" i="21"/>
  <c r="Q279" i="21"/>
  <c r="P280" i="21"/>
  <c r="Q280" i="21"/>
  <c r="P281" i="21"/>
  <c r="Q281" i="21"/>
  <c r="P282" i="21"/>
  <c r="Q282" i="21"/>
  <c r="P283" i="21"/>
  <c r="Q283" i="21"/>
  <c r="P284" i="21"/>
  <c r="Q284" i="21"/>
  <c r="P285" i="21"/>
  <c r="Q285" i="21"/>
  <c r="P286" i="21"/>
  <c r="Q286" i="21"/>
  <c r="P287" i="21"/>
  <c r="Q287" i="21"/>
  <c r="P288" i="21"/>
  <c r="Q288" i="21"/>
  <c r="P289" i="21"/>
  <c r="Q289" i="21"/>
  <c r="P290" i="21"/>
  <c r="Q290" i="21"/>
  <c r="P291" i="21"/>
  <c r="Q291" i="21"/>
  <c r="P292" i="21"/>
  <c r="Q292" i="21"/>
  <c r="P293" i="21"/>
  <c r="Q293" i="21"/>
  <c r="P294" i="21"/>
  <c r="Q294" i="21"/>
  <c r="P295" i="21"/>
  <c r="Q295" i="21"/>
  <c r="P296" i="21"/>
  <c r="Q296" i="21"/>
  <c r="P297" i="21"/>
  <c r="Q297" i="21"/>
  <c r="P298" i="21"/>
  <c r="Q298" i="21"/>
  <c r="P299" i="21"/>
  <c r="Q299" i="21"/>
  <c r="P300" i="21"/>
  <c r="Q300" i="21"/>
  <c r="P301" i="21"/>
  <c r="Q301" i="21"/>
  <c r="P302" i="21"/>
  <c r="Q302" i="21"/>
  <c r="P303" i="21"/>
  <c r="Q303" i="21"/>
  <c r="P304" i="21"/>
  <c r="Q304" i="21"/>
  <c r="P305" i="21"/>
  <c r="Q305" i="21"/>
  <c r="P306" i="21"/>
  <c r="Q306" i="21"/>
  <c r="P307" i="21"/>
  <c r="Q307" i="21"/>
  <c r="P8" i="21"/>
  <c r="R9" i="21"/>
  <c r="R41" i="21"/>
  <c r="R46" i="21"/>
  <c r="R70" i="21"/>
  <c r="Q8" i="21"/>
  <c r="R202" i="21" l="1"/>
  <c r="R130" i="21"/>
  <c r="R94" i="21"/>
  <c r="R82" i="21"/>
  <c r="R149" i="21"/>
  <c r="R73" i="21"/>
  <c r="R303" i="21"/>
  <c r="R295" i="21"/>
  <c r="R227" i="21"/>
  <c r="R95" i="21"/>
  <c r="R83" i="21"/>
  <c r="R55" i="21"/>
  <c r="R288" i="21"/>
  <c r="R220" i="21"/>
  <c r="R96" i="21"/>
  <c r="R232" i="21"/>
  <c r="R24" i="21"/>
  <c r="R226" i="21"/>
  <c r="R212" i="21"/>
  <c r="R156" i="21"/>
  <c r="R76" i="21"/>
  <c r="R208" i="21"/>
  <c r="R281" i="21"/>
  <c r="R233" i="21"/>
  <c r="R197" i="21"/>
  <c r="R161" i="21"/>
  <c r="R141" i="21"/>
  <c r="R137" i="21"/>
  <c r="R101" i="21"/>
  <c r="R65" i="21"/>
  <c r="R53" i="21"/>
  <c r="R148" i="21"/>
  <c r="R64" i="21"/>
  <c r="R235" i="21"/>
  <c r="R219" i="21"/>
  <c r="R107" i="21"/>
  <c r="R47" i="21"/>
  <c r="R23" i="21"/>
  <c r="R294" i="21"/>
  <c r="R242" i="21"/>
  <c r="R142" i="21"/>
  <c r="R34" i="21"/>
  <c r="R297" i="21"/>
  <c r="R265" i="21"/>
  <c r="R253" i="21"/>
  <c r="R225" i="21"/>
  <c r="R213" i="21"/>
  <c r="R209" i="21"/>
  <c r="R201" i="21"/>
  <c r="R133" i="21"/>
  <c r="R113" i="21"/>
  <c r="R85" i="21"/>
  <c r="R61" i="21"/>
  <c r="R37" i="21"/>
  <c r="R25" i="21"/>
  <c r="R286" i="21"/>
  <c r="R234" i="21"/>
  <c r="R154" i="21"/>
  <c r="R138" i="21"/>
  <c r="R102" i="21"/>
  <c r="R58" i="21"/>
  <c r="R10" i="21"/>
  <c r="R289" i="21"/>
  <c r="R257" i="21"/>
  <c r="R245" i="21"/>
  <c r="R185" i="21"/>
  <c r="R173" i="21"/>
  <c r="R224" i="21"/>
  <c r="R200" i="21"/>
  <c r="R152" i="21"/>
  <c r="R128" i="21"/>
  <c r="R56" i="21"/>
  <c r="R36" i="21"/>
  <c r="R307" i="21"/>
  <c r="R187" i="21"/>
  <c r="R127" i="21"/>
  <c r="R290" i="21"/>
  <c r="R254" i="21"/>
  <c r="R246" i="21"/>
  <c r="R218" i="21"/>
  <c r="R134" i="21"/>
  <c r="R126" i="21"/>
  <c r="R122" i="21"/>
  <c r="R38" i="21"/>
  <c r="R30" i="21"/>
  <c r="R26" i="21"/>
  <c r="R296" i="21"/>
  <c r="R264" i="21"/>
  <c r="R192" i="21"/>
  <c r="R180" i="21"/>
  <c r="R168" i="21"/>
  <c r="R12" i="21"/>
  <c r="R259" i="21"/>
  <c r="R199" i="21"/>
  <c r="R163" i="21"/>
  <c r="R103" i="21"/>
  <c r="R302" i="21"/>
  <c r="R89" i="21"/>
  <c r="R77" i="21"/>
  <c r="R29" i="21"/>
  <c r="R175" i="21"/>
  <c r="R139" i="21"/>
  <c r="R43" i="21"/>
  <c r="R18" i="21"/>
  <c r="R179" i="21"/>
  <c r="R112" i="21"/>
  <c r="R260" i="21"/>
  <c r="R251" i="21"/>
  <c r="R146" i="21"/>
  <c r="R78" i="21"/>
  <c r="R108" i="21"/>
  <c r="R267" i="21"/>
  <c r="R258" i="21"/>
  <c r="R247" i="21"/>
  <c r="R230" i="21"/>
  <c r="R221" i="21"/>
  <c r="R206" i="21"/>
  <c r="R198" i="21"/>
  <c r="R186" i="21"/>
  <c r="R174" i="21"/>
  <c r="R162" i="21"/>
  <c r="R136" i="21"/>
  <c r="R88" i="21"/>
  <c r="R66" i="21"/>
  <c r="R31" i="21"/>
  <c r="R97" i="21"/>
  <c r="R153" i="21"/>
  <c r="R304" i="21"/>
  <c r="R241" i="21"/>
  <c r="R132" i="21"/>
  <c r="R52" i="21"/>
  <c r="R167" i="21"/>
  <c r="R164" i="21"/>
  <c r="R17" i="21"/>
  <c r="R291" i="21"/>
  <c r="R207" i="21"/>
  <c r="R214" i="21"/>
  <c r="R48" i="21"/>
  <c r="R125" i="21"/>
  <c r="R228" i="21"/>
  <c r="R204" i="21"/>
  <c r="R67" i="21"/>
  <c r="R287" i="21"/>
  <c r="R42" i="21"/>
  <c r="R301" i="21"/>
  <c r="R124" i="21"/>
  <c r="R188" i="21"/>
  <c r="R131" i="21"/>
  <c r="R32" i="21"/>
  <c r="R106" i="21"/>
  <c r="R109" i="21"/>
  <c r="R49" i="21"/>
  <c r="R182" i="21"/>
  <c r="R170" i="21"/>
  <c r="R158" i="21"/>
  <c r="R236" i="21"/>
  <c r="R147" i="21"/>
  <c r="R155" i="21"/>
  <c r="R215" i="21"/>
  <c r="R231" i="21"/>
  <c r="R293" i="21"/>
  <c r="R203" i="21"/>
  <c r="R84" i="21"/>
  <c r="R54" i="21"/>
  <c r="R20" i="21"/>
  <c r="R79" i="21"/>
  <c r="R193" i="21"/>
  <c r="R181" i="21"/>
  <c r="R169" i="21"/>
  <c r="R157" i="21"/>
  <c r="R266" i="21"/>
  <c r="R252" i="21"/>
  <c r="R60" i="21"/>
  <c r="R269" i="21"/>
  <c r="R191" i="21"/>
  <c r="R90" i="21"/>
  <c r="R176" i="21"/>
  <c r="R222" i="21"/>
  <c r="R100" i="21"/>
  <c r="R239" i="21"/>
  <c r="R248" i="21"/>
  <c r="R71" i="21"/>
  <c r="R292" i="21"/>
  <c r="R240" i="21"/>
  <c r="R59" i="21"/>
  <c r="R33" i="21"/>
  <c r="R143" i="21"/>
  <c r="R40" i="21"/>
  <c r="R72" i="21"/>
  <c r="R19" i="21"/>
  <c r="R39" i="21"/>
  <c r="R91" i="21"/>
  <c r="R44" i="21"/>
  <c r="R145" i="21"/>
  <c r="R298" i="21"/>
  <c r="R300" i="21"/>
  <c r="R299" i="21"/>
  <c r="R306" i="21"/>
  <c r="R305" i="21"/>
  <c r="R279" i="21"/>
  <c r="R275" i="21"/>
  <c r="R273" i="21"/>
  <c r="R285" i="21"/>
  <c r="R274" i="21"/>
  <c r="R268" i="21"/>
  <c r="R280" i="21"/>
  <c r="R271" i="21"/>
  <c r="R284" i="21"/>
  <c r="R283" i="21"/>
  <c r="R276" i="21"/>
  <c r="R272" i="21"/>
  <c r="R270" i="21"/>
  <c r="R278" i="21"/>
  <c r="R277" i="21"/>
  <c r="R282" i="21"/>
  <c r="R261" i="21"/>
  <c r="R262" i="21"/>
  <c r="R238" i="21"/>
  <c r="R255" i="21"/>
  <c r="R249" i="21"/>
  <c r="R243" i="21"/>
  <c r="R237" i="21"/>
  <c r="R250" i="21"/>
  <c r="R244" i="21"/>
  <c r="R256" i="21"/>
  <c r="R229" i="21"/>
  <c r="R211" i="21"/>
  <c r="R210" i="21"/>
  <c r="R217" i="21"/>
  <c r="R205" i="21"/>
  <c r="R216" i="21"/>
  <c r="R223" i="21"/>
  <c r="R196" i="21"/>
  <c r="R195" i="21"/>
  <c r="R189" i="21"/>
  <c r="R183" i="21"/>
  <c r="R177" i="21"/>
  <c r="R171" i="21"/>
  <c r="R165" i="21"/>
  <c r="R159" i="21"/>
  <c r="R178" i="21"/>
  <c r="R160" i="21"/>
  <c r="R166" i="21"/>
  <c r="R172" i="21"/>
  <c r="R184" i="21"/>
  <c r="R190" i="21"/>
  <c r="R194" i="21"/>
  <c r="R151" i="21"/>
  <c r="R150" i="21"/>
  <c r="R144" i="21"/>
  <c r="R140" i="21"/>
  <c r="R129" i="21"/>
  <c r="R135" i="21"/>
  <c r="R114" i="21"/>
  <c r="R115" i="21"/>
  <c r="R116" i="21"/>
  <c r="R123" i="21"/>
  <c r="R120" i="21"/>
  <c r="R117" i="21"/>
  <c r="R121" i="21"/>
  <c r="R119" i="21"/>
  <c r="R118" i="21"/>
  <c r="R93" i="21"/>
  <c r="R69" i="21"/>
  <c r="R45" i="21"/>
  <c r="R104" i="21"/>
  <c r="R86" i="21"/>
  <c r="R50" i="21"/>
  <c r="R111" i="21"/>
  <c r="R87" i="21"/>
  <c r="R75" i="21"/>
  <c r="R51" i="21"/>
  <c r="R110" i="21"/>
  <c r="R92" i="21"/>
  <c r="R80" i="21"/>
  <c r="R68" i="21"/>
  <c r="R105" i="21"/>
  <c r="R81" i="21"/>
  <c r="R63" i="21"/>
  <c r="R98" i="21"/>
  <c r="R74" i="21"/>
  <c r="R99" i="21"/>
  <c r="R57" i="21"/>
  <c r="R62" i="21"/>
  <c r="R35" i="21"/>
  <c r="R28" i="21"/>
  <c r="R27" i="21"/>
  <c r="R21" i="21"/>
  <c r="R22" i="21"/>
  <c r="R16" i="21"/>
  <c r="R13" i="21"/>
  <c r="R11" i="21"/>
  <c r="R15" i="21"/>
  <c r="R14" i="21"/>
  <c r="AD308" i="53"/>
  <c r="R8" i="21"/>
  <c r="Q308" i="21"/>
  <c r="R263" i="21"/>
  <c r="B1" i="59" l="1"/>
  <c r="F13" i="59"/>
  <c r="F12" i="59"/>
  <c r="AD6" i="53"/>
  <c r="Q7" i="21"/>
  <c r="AC6" i="53"/>
  <c r="P7" i="21"/>
  <c r="W6" i="53"/>
  <c r="R308" i="21"/>
  <c r="R6" i="21" s="1"/>
  <c r="E3" i="57"/>
  <c r="K111" i="9" l="1"/>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K275" i="9"/>
  <c r="K276" i="9"/>
  <c r="K277" i="9"/>
  <c r="K278" i="9"/>
  <c r="K279" i="9"/>
  <c r="K280" i="9"/>
  <c r="K281" i="9"/>
  <c r="K282" i="9"/>
  <c r="K283" i="9"/>
  <c r="K284" i="9"/>
  <c r="K285" i="9"/>
  <c r="K286" i="9"/>
  <c r="K287" i="9"/>
  <c r="K288" i="9"/>
  <c r="K289" i="9"/>
  <c r="K290" i="9"/>
  <c r="K291" i="9"/>
  <c r="K292" i="9"/>
  <c r="K293" i="9"/>
  <c r="K294" i="9"/>
  <c r="K295" i="9"/>
  <c r="K296" i="9"/>
  <c r="K297" i="9"/>
  <c r="K298" i="9"/>
  <c r="K299" i="9"/>
  <c r="K300" i="9"/>
  <c r="K301" i="9"/>
  <c r="K302" i="9"/>
  <c r="K303" i="9"/>
  <c r="K304" i="9"/>
  <c r="K305" i="9"/>
  <c r="K306" i="9"/>
  <c r="K307" i="9"/>
  <c r="M8" i="29" l="1"/>
  <c r="T8" i="29" s="1"/>
  <c r="S5" i="29"/>
  <c r="R5" i="29"/>
  <c r="R4" i="29"/>
  <c r="M10" i="29" l="1"/>
  <c r="A2" i="29"/>
  <c r="K16" i="50" l="1"/>
  <c r="K12" i="50" s="1"/>
  <c r="A253" i="55" l="1"/>
  <c r="A2" i="55" l="1"/>
  <c r="B1" i="57" s="1"/>
  <c r="A2" i="4"/>
  <c r="A2" i="21"/>
  <c r="A2" i="9"/>
  <c r="A2" i="3"/>
  <c r="A2" i="2"/>
  <c r="A2" i="53"/>
  <c r="X6" i="53"/>
  <c r="T2" i="45"/>
  <c r="B27" i="45"/>
  <c r="C4" i="45"/>
  <c r="P6" i="3" l="1"/>
  <c r="O6" i="3"/>
  <c r="N6" i="3"/>
  <c r="Q6" i="3"/>
  <c r="N5" i="55" l="1"/>
  <c r="M7" i="29" l="1"/>
  <c r="N3" i="9"/>
  <c r="AB6" i="53" l="1"/>
  <c r="AA6" i="53"/>
  <c r="C6" i="53"/>
  <c r="P6" i="21"/>
  <c r="F5" i="21"/>
  <c r="E6" i="29"/>
  <c r="F6" i="29"/>
  <c r="G6" i="29"/>
  <c r="H6" i="29"/>
  <c r="I6" i="29"/>
  <c r="J6" i="29"/>
  <c r="K6" i="29"/>
  <c r="D6" i="29"/>
  <c r="K4" i="29"/>
  <c r="E4" i="29"/>
  <c r="F4" i="29"/>
  <c r="G4" i="29"/>
  <c r="H4" i="29"/>
  <c r="I4" i="29"/>
  <c r="J4" i="29"/>
  <c r="E5" i="29"/>
  <c r="F5" i="29"/>
  <c r="G5" i="29"/>
  <c r="H5" i="29"/>
  <c r="I5" i="29"/>
  <c r="J5" i="29"/>
  <c r="D5" i="29"/>
  <c r="D4" i="29"/>
  <c r="S303" i="21" l="1"/>
  <c r="S23" i="21"/>
  <c r="S192" i="21"/>
  <c r="S102" i="21"/>
  <c r="S58" i="21"/>
  <c r="S89" i="21"/>
  <c r="S224" i="21"/>
  <c r="S65" i="21"/>
  <c r="S246" i="21"/>
  <c r="S213" i="21"/>
  <c r="S133" i="21"/>
  <c r="S141" i="21"/>
  <c r="S53" i="21"/>
  <c r="S127" i="21"/>
  <c r="S94" i="21"/>
  <c r="S46" i="21"/>
  <c r="S138" i="21"/>
  <c r="S180" i="21"/>
  <c r="S10" i="21"/>
  <c r="S9" i="21"/>
  <c r="S77" i="21"/>
  <c r="S200" i="21"/>
  <c r="S55" i="21"/>
  <c r="S218" i="21"/>
  <c r="S156" i="21"/>
  <c r="S85" i="21"/>
  <c r="S295" i="21"/>
  <c r="S307" i="21"/>
  <c r="S103" i="21"/>
  <c r="S83" i="21"/>
  <c r="S12" i="21"/>
  <c r="S95" i="21"/>
  <c r="S152" i="21"/>
  <c r="S302" i="21"/>
  <c r="S61" i="21"/>
  <c r="S29" i="21"/>
  <c r="S168" i="21"/>
  <c r="S286" i="21"/>
  <c r="S134" i="21"/>
  <c r="S96" i="21"/>
  <c r="S37" i="21"/>
  <c r="S294" i="21"/>
  <c r="S259" i="21"/>
  <c r="S43" i="21"/>
  <c r="S296" i="21"/>
  <c r="S288" i="21"/>
  <c r="S232" i="21"/>
  <c r="S36" i="21"/>
  <c r="S126" i="21"/>
  <c r="S289" i="21"/>
  <c r="S233" i="21"/>
  <c r="S128" i="21"/>
  <c r="S197" i="21"/>
  <c r="S122" i="21"/>
  <c r="S47" i="21"/>
  <c r="S25" i="21"/>
  <c r="S226" i="21"/>
  <c r="S199" i="21"/>
  <c r="S185" i="21"/>
  <c r="S26" i="21"/>
  <c r="S242" i="21"/>
  <c r="S163" i="21"/>
  <c r="S225" i="21"/>
  <c r="S148" i="21"/>
  <c r="S208" i="21"/>
  <c r="S235" i="21"/>
  <c r="S257" i="21"/>
  <c r="S142" i="21"/>
  <c r="S56" i="21"/>
  <c r="S64" i="21"/>
  <c r="S38" i="21"/>
  <c r="S154" i="21"/>
  <c r="S149" i="21"/>
  <c r="S202" i="21"/>
  <c r="S187" i="21"/>
  <c r="S107" i="21"/>
  <c r="S201" i="21"/>
  <c r="S41" i="21"/>
  <c r="S34" i="21"/>
  <c r="S219" i="21"/>
  <c r="S245" i="21"/>
  <c r="S209" i="21"/>
  <c r="S227" i="21"/>
  <c r="S73" i="21"/>
  <c r="S30" i="21"/>
  <c r="S137" i="21"/>
  <c r="S212" i="21"/>
  <c r="S113" i="21"/>
  <c r="S175" i="21"/>
  <c r="S161" i="21"/>
  <c r="S70" i="21"/>
  <c r="S264" i="21"/>
  <c r="S220" i="21"/>
  <c r="S101" i="21"/>
  <c r="S173" i="21"/>
  <c r="S281" i="21"/>
  <c r="S82" i="21"/>
  <c r="S254" i="21"/>
  <c r="S234" i="21"/>
  <c r="S253" i="21"/>
  <c r="S297" i="21"/>
  <c r="S24" i="21"/>
  <c r="S139" i="21"/>
  <c r="S130" i="21"/>
  <c r="S290" i="21"/>
  <c r="S265" i="21"/>
  <c r="S76" i="21"/>
  <c r="S80" i="21"/>
  <c r="S68" i="21"/>
  <c r="S270" i="21"/>
  <c r="S131" i="21"/>
  <c r="S125" i="21"/>
  <c r="S160" i="21"/>
  <c r="S222" i="21"/>
  <c r="S247" i="21"/>
  <c r="S123" i="21"/>
  <c r="S44" i="21"/>
  <c r="S241" i="21"/>
  <c r="S230" i="21"/>
  <c r="S159" i="21"/>
  <c r="S90" i="21"/>
  <c r="S267" i="21"/>
  <c r="S115" i="21"/>
  <c r="S39" i="21"/>
  <c r="S153" i="21"/>
  <c r="S81" i="21"/>
  <c r="S277" i="21"/>
  <c r="S106" i="21"/>
  <c r="S88" i="21"/>
  <c r="S177" i="21"/>
  <c r="S60" i="21"/>
  <c r="S146" i="21"/>
  <c r="S306" i="21"/>
  <c r="S243" i="21"/>
  <c r="S215" i="21"/>
  <c r="S198" i="21"/>
  <c r="S279" i="21"/>
  <c r="S109" i="21"/>
  <c r="S78" i="21"/>
  <c r="S283" i="21"/>
  <c r="S304" i="21"/>
  <c r="S140" i="21"/>
  <c r="S249" i="21"/>
  <c r="S214" i="21"/>
  <c r="S305" i="21"/>
  <c r="S248" i="21"/>
  <c r="S189" i="21"/>
  <c r="S50" i="21"/>
  <c r="S274" i="21"/>
  <c r="S228" i="21"/>
  <c r="S263" i="21"/>
  <c r="S195" i="21"/>
  <c r="S157" i="21"/>
  <c r="S112" i="21"/>
  <c r="S150" i="21"/>
  <c r="S59" i="21"/>
  <c r="S162" i="21"/>
  <c r="S8" i="21"/>
  <c r="S223" i="21"/>
  <c r="S181" i="21"/>
  <c r="S18" i="21"/>
  <c r="S194" i="21"/>
  <c r="S292" i="21"/>
  <c r="S186" i="21"/>
  <c r="S87" i="21"/>
  <c r="S280" i="21"/>
  <c r="S67" i="21"/>
  <c r="S15" i="21"/>
  <c r="S217" i="21"/>
  <c r="S20" i="21"/>
  <c r="S35" i="21"/>
  <c r="S285" i="21"/>
  <c r="S121" i="21"/>
  <c r="S300" i="21"/>
  <c r="S167" i="21"/>
  <c r="S16" i="21"/>
  <c r="S229" i="21"/>
  <c r="S203" i="21"/>
  <c r="S13" i="21"/>
  <c r="S178" i="21"/>
  <c r="S176" i="21"/>
  <c r="S258" i="21"/>
  <c r="S21" i="21"/>
  <c r="S244" i="21"/>
  <c r="S231" i="21"/>
  <c r="S166" i="21"/>
  <c r="S165" i="21"/>
  <c r="S191" i="21"/>
  <c r="S108" i="21"/>
  <c r="S118" i="21"/>
  <c r="S17" i="21"/>
  <c r="S147" i="21"/>
  <c r="S190" i="21"/>
  <c r="S204" i="21"/>
  <c r="S63" i="21"/>
  <c r="S269" i="21"/>
  <c r="S164" i="21"/>
  <c r="S143" i="21"/>
  <c r="S14" i="21"/>
  <c r="S31" i="21"/>
  <c r="S33" i="21"/>
  <c r="S136" i="21"/>
  <c r="S151" i="21"/>
  <c r="S93" i="21"/>
  <c r="S298" i="21"/>
  <c r="S84" i="21"/>
  <c r="S129" i="21"/>
  <c r="S40" i="21"/>
  <c r="S66" i="21"/>
  <c r="S99" i="21"/>
  <c r="S238" i="21"/>
  <c r="S170" i="21"/>
  <c r="S100" i="21"/>
  <c r="S196" i="21"/>
  <c r="S169" i="21"/>
  <c r="S179" i="21"/>
  <c r="S98" i="21"/>
  <c r="S261" i="21"/>
  <c r="S49" i="21"/>
  <c r="S266" i="21"/>
  <c r="S216" i="21"/>
  <c r="S193" i="21"/>
  <c r="S57" i="21"/>
  <c r="S114" i="21"/>
  <c r="S19" i="21"/>
  <c r="S97" i="21"/>
  <c r="S105" i="21"/>
  <c r="S278" i="21"/>
  <c r="S32" i="21"/>
  <c r="S71" i="21"/>
  <c r="S268" i="21"/>
  <c r="S207" i="21"/>
  <c r="S171" i="21"/>
  <c r="S119" i="21"/>
  <c r="S301" i="21"/>
  <c r="S271" i="21"/>
  <c r="S135" i="21"/>
  <c r="S62" i="21"/>
  <c r="S158" i="21"/>
  <c r="S237" i="21"/>
  <c r="S52" i="21"/>
  <c r="S172" i="21"/>
  <c r="S239" i="21"/>
  <c r="S221" i="21"/>
  <c r="S92" i="21"/>
  <c r="S276" i="21"/>
  <c r="S124" i="21"/>
  <c r="S22" i="21"/>
  <c r="S256" i="21"/>
  <c r="S293" i="21"/>
  <c r="S117" i="21"/>
  <c r="S51" i="21"/>
  <c r="S284" i="21"/>
  <c r="S42" i="21"/>
  <c r="S27" i="21"/>
  <c r="S250" i="21"/>
  <c r="S211" i="21"/>
  <c r="S111" i="21"/>
  <c r="S255" i="21"/>
  <c r="S188" i="21"/>
  <c r="S299" i="21"/>
  <c r="S116" i="21"/>
  <c r="S75" i="21"/>
  <c r="S205" i="21"/>
  <c r="S236" i="21"/>
  <c r="S275" i="21"/>
  <c r="S291" i="21"/>
  <c r="S206" i="21"/>
  <c r="S260" i="21"/>
  <c r="S183" i="21"/>
  <c r="S252" i="21"/>
  <c r="S251" i="21"/>
  <c r="S104" i="21"/>
  <c r="S273" i="21"/>
  <c r="S48" i="21"/>
  <c r="S74" i="21"/>
  <c r="S262" i="21"/>
  <c r="S182" i="21"/>
  <c r="S69" i="21"/>
  <c r="S282" i="21"/>
  <c r="S287" i="21"/>
  <c r="S72" i="21"/>
  <c r="S272" i="21"/>
  <c r="S240" i="21"/>
  <c r="S155" i="21"/>
  <c r="S11" i="21"/>
  <c r="S210" i="21"/>
  <c r="S54" i="21"/>
  <c r="S86" i="21"/>
  <c r="S120" i="21"/>
  <c r="S145" i="21"/>
  <c r="S132" i="21"/>
  <c r="S110" i="21"/>
  <c r="S91" i="21"/>
  <c r="S79" i="21"/>
  <c r="S144" i="21"/>
  <c r="S45" i="21"/>
  <c r="S174" i="21"/>
  <c r="S28" i="21"/>
  <c r="S184" i="21"/>
  <c r="O9" i="29"/>
  <c r="P9" i="29"/>
  <c r="O16" i="29"/>
  <c r="P16" i="29"/>
  <c r="O108" i="29"/>
  <c r="P108" i="29"/>
  <c r="O110" i="29"/>
  <c r="P110" i="29"/>
  <c r="O113" i="29"/>
  <c r="P113" i="29"/>
  <c r="O115" i="29"/>
  <c r="P115" i="29"/>
  <c r="O116" i="29"/>
  <c r="P116" i="29"/>
  <c r="O117" i="29"/>
  <c r="P117" i="29"/>
  <c r="O118" i="29"/>
  <c r="P118" i="29"/>
  <c r="O120" i="29"/>
  <c r="P120" i="29"/>
  <c r="O122" i="29"/>
  <c r="P122" i="29"/>
  <c r="O123" i="29"/>
  <c r="P123" i="29"/>
  <c r="O124" i="29"/>
  <c r="P124" i="29"/>
  <c r="O125" i="29"/>
  <c r="P125" i="29"/>
  <c r="O126" i="29"/>
  <c r="P126" i="29"/>
  <c r="O127" i="29"/>
  <c r="P127" i="29"/>
  <c r="O130" i="29"/>
  <c r="P130" i="29"/>
  <c r="O131" i="29"/>
  <c r="P131" i="29"/>
  <c r="O132" i="29"/>
  <c r="P132" i="29"/>
  <c r="O139" i="29"/>
  <c r="P139" i="29"/>
  <c r="O144" i="29"/>
  <c r="P144" i="29"/>
  <c r="O145" i="29"/>
  <c r="P145" i="29"/>
  <c r="O146" i="29"/>
  <c r="P146" i="29"/>
  <c r="O148" i="29"/>
  <c r="P148" i="29"/>
  <c r="O149" i="29"/>
  <c r="P149" i="29"/>
  <c r="O150" i="29"/>
  <c r="P150" i="29"/>
  <c r="O152" i="29"/>
  <c r="P152" i="29"/>
  <c r="O186" i="29"/>
  <c r="P186" i="29"/>
  <c r="O197" i="29"/>
  <c r="P197" i="29"/>
  <c r="O198" i="29"/>
  <c r="P198" i="29"/>
  <c r="O269" i="29"/>
  <c r="P269" i="29"/>
  <c r="O270" i="29"/>
  <c r="P270" i="29"/>
  <c r="O271" i="29"/>
  <c r="P271" i="29"/>
  <c r="O272" i="29"/>
  <c r="P272" i="29"/>
  <c r="O273" i="29"/>
  <c r="P273" i="29"/>
  <c r="O274" i="29"/>
  <c r="P274" i="29"/>
  <c r="O275" i="29"/>
  <c r="P275" i="29"/>
  <c r="O276" i="29"/>
  <c r="P276" i="29"/>
  <c r="O277" i="29"/>
  <c r="P277" i="29"/>
  <c r="O280" i="29"/>
  <c r="P280" i="29"/>
  <c r="O284" i="29"/>
  <c r="P284" i="29"/>
  <c r="O289" i="29"/>
  <c r="P289" i="29"/>
  <c r="O290" i="29"/>
  <c r="P290" i="29"/>
  <c r="O296" i="29"/>
  <c r="P296" i="29"/>
  <c r="O298" i="29"/>
  <c r="P298" i="29"/>
  <c r="O299" i="29"/>
  <c r="P299" i="29"/>
  <c r="O300" i="29"/>
  <c r="P300" i="29"/>
  <c r="O306" i="29"/>
  <c r="P306" i="29"/>
  <c r="P8" i="29"/>
  <c r="O8" i="29"/>
  <c r="N308" i="2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305" i="9"/>
  <c r="L306" i="9"/>
  <c r="L307" i="9"/>
  <c r="L8" i="9"/>
  <c r="E9" i="9"/>
  <c r="E10"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158" i="9"/>
  <c r="E159" i="9"/>
  <c r="E160" i="9"/>
  <c r="E161" i="9"/>
  <c r="E162" i="9"/>
  <c r="E163" i="9"/>
  <c r="E164" i="9"/>
  <c r="E165" i="9"/>
  <c r="E166" i="9"/>
  <c r="E167" i="9"/>
  <c r="E168" i="9"/>
  <c r="E169" i="9"/>
  <c r="E170" i="9"/>
  <c r="E171" i="9"/>
  <c r="E172" i="9"/>
  <c r="E173" i="9"/>
  <c r="E174" i="9"/>
  <c r="E175" i="9"/>
  <c r="E176" i="9"/>
  <c r="E177" i="9"/>
  <c r="E178" i="9"/>
  <c r="E179" i="9"/>
  <c r="E180" i="9"/>
  <c r="E181" i="9"/>
  <c r="E182" i="9"/>
  <c r="E183" i="9"/>
  <c r="E184" i="9"/>
  <c r="E185" i="9"/>
  <c r="E186" i="9"/>
  <c r="E187" i="9"/>
  <c r="E188" i="9"/>
  <c r="E189" i="9"/>
  <c r="E190" i="9"/>
  <c r="E191" i="9"/>
  <c r="E192" i="9"/>
  <c r="E193" i="9"/>
  <c r="E194" i="9"/>
  <c r="E195" i="9"/>
  <c r="E196" i="9"/>
  <c r="E197" i="9"/>
  <c r="E198" i="9"/>
  <c r="E199" i="9"/>
  <c r="E200" i="9"/>
  <c r="E201" i="9"/>
  <c r="E202" i="9"/>
  <c r="E203" i="9"/>
  <c r="E204" i="9"/>
  <c r="E205" i="9"/>
  <c r="E206" i="9"/>
  <c r="E207" i="9"/>
  <c r="E208" i="9"/>
  <c r="E209" i="9"/>
  <c r="E211" i="9"/>
  <c r="E212" i="9"/>
  <c r="E213" i="9"/>
  <c r="E214" i="9"/>
  <c r="E215" i="9"/>
  <c r="E216" i="9"/>
  <c r="E217" i="9"/>
  <c r="E218" i="9"/>
  <c r="E219" i="9"/>
  <c r="E220" i="9"/>
  <c r="E221" i="9"/>
  <c r="E222" i="9"/>
  <c r="E223" i="9"/>
  <c r="E224" i="9"/>
  <c r="E225" i="9"/>
  <c r="E226" i="9"/>
  <c r="E227" i="9"/>
  <c r="E228" i="9"/>
  <c r="E229" i="9"/>
  <c r="E230" i="9"/>
  <c r="E231" i="9"/>
  <c r="E232" i="9"/>
  <c r="E233" i="9"/>
  <c r="E234" i="9"/>
  <c r="E235" i="9"/>
  <c r="E236" i="9"/>
  <c r="E237" i="9"/>
  <c r="E238" i="9"/>
  <c r="E239" i="9"/>
  <c r="E240" i="9"/>
  <c r="E241" i="9"/>
  <c r="E242" i="9"/>
  <c r="E243" i="9"/>
  <c r="E244" i="9"/>
  <c r="E245" i="9"/>
  <c r="E246" i="9"/>
  <c r="E247" i="9"/>
  <c r="E248" i="9"/>
  <c r="E251" i="9"/>
  <c r="E252" i="9"/>
  <c r="E253" i="9"/>
  <c r="E254" i="9"/>
  <c r="E255" i="9"/>
  <c r="E256" i="9"/>
  <c r="E257" i="9"/>
  <c r="E258" i="9"/>
  <c r="E259" i="9"/>
  <c r="E260" i="9"/>
  <c r="E261" i="9"/>
  <c r="E262" i="9"/>
  <c r="E263" i="9"/>
  <c r="E264" i="9"/>
  <c r="E265" i="9"/>
  <c r="E267" i="9"/>
  <c r="E268" i="9"/>
  <c r="E269" i="9"/>
  <c r="E270" i="9"/>
  <c r="E271" i="9"/>
  <c r="E272" i="9"/>
  <c r="E273" i="9"/>
  <c r="E274" i="9"/>
  <c r="E275" i="9"/>
  <c r="E276" i="9"/>
  <c r="E277" i="9"/>
  <c r="E278" i="9"/>
  <c r="E279" i="9"/>
  <c r="E280" i="9"/>
  <c r="E281" i="9"/>
  <c r="E282" i="9"/>
  <c r="E283" i="9"/>
  <c r="E284" i="9"/>
  <c r="E285" i="9"/>
  <c r="E286" i="9"/>
  <c r="E287" i="9"/>
  <c r="E288" i="9"/>
  <c r="E289" i="9"/>
  <c r="E290" i="9"/>
  <c r="E291" i="9"/>
  <c r="E292" i="9"/>
  <c r="E293" i="9"/>
  <c r="E294" i="9"/>
  <c r="E295" i="9"/>
  <c r="E296" i="9"/>
  <c r="E297" i="9"/>
  <c r="E298" i="9"/>
  <c r="E299" i="9"/>
  <c r="E300" i="9"/>
  <c r="E301" i="9"/>
  <c r="E302" i="9"/>
  <c r="E303" i="9"/>
  <c r="E304" i="9"/>
  <c r="E305" i="9"/>
  <c r="E306" i="9"/>
  <c r="E307" i="9"/>
  <c r="E8" i="9"/>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8" i="3"/>
  <c r="K308" i="9" l="1"/>
  <c r="M9" i="29"/>
  <c r="T9" i="29" s="1"/>
  <c r="T10" i="29"/>
  <c r="M11" i="29"/>
  <c r="T11" i="29" s="1"/>
  <c r="M12" i="29"/>
  <c r="T12" i="29" s="1"/>
  <c r="M13" i="29"/>
  <c r="T13" i="29" s="1"/>
  <c r="M14" i="29"/>
  <c r="T14" i="29" s="1"/>
  <c r="M15" i="29"/>
  <c r="T15" i="29" s="1"/>
  <c r="M16" i="29"/>
  <c r="T16" i="29" s="1"/>
  <c r="M17" i="29"/>
  <c r="T17" i="29" s="1"/>
  <c r="M18" i="29"/>
  <c r="T18" i="29" s="1"/>
  <c r="M19" i="29"/>
  <c r="T19" i="29" s="1"/>
  <c r="M20" i="29"/>
  <c r="T20" i="29" s="1"/>
  <c r="M21" i="29"/>
  <c r="T21" i="29" s="1"/>
  <c r="M22" i="29"/>
  <c r="T22" i="29" s="1"/>
  <c r="M23" i="29"/>
  <c r="T23" i="29" s="1"/>
  <c r="M24" i="29"/>
  <c r="T24" i="29" s="1"/>
  <c r="M25" i="29"/>
  <c r="T25" i="29" s="1"/>
  <c r="M26" i="29"/>
  <c r="T26" i="29" s="1"/>
  <c r="M27" i="29"/>
  <c r="T27" i="29" s="1"/>
  <c r="M28" i="29"/>
  <c r="T28" i="29" s="1"/>
  <c r="M29" i="29"/>
  <c r="T29" i="29" s="1"/>
  <c r="M30" i="29"/>
  <c r="T30" i="29" s="1"/>
  <c r="M31" i="29"/>
  <c r="T31" i="29" s="1"/>
  <c r="M32" i="29"/>
  <c r="T32" i="29" s="1"/>
  <c r="M33" i="29"/>
  <c r="T33" i="29" s="1"/>
  <c r="M34" i="29"/>
  <c r="T34" i="29" s="1"/>
  <c r="M35" i="29"/>
  <c r="T35" i="29" s="1"/>
  <c r="M36" i="29"/>
  <c r="T36" i="29" s="1"/>
  <c r="M37" i="29"/>
  <c r="T37" i="29" s="1"/>
  <c r="M38" i="29"/>
  <c r="T38" i="29" s="1"/>
  <c r="M39" i="29"/>
  <c r="T39" i="29" s="1"/>
  <c r="M40" i="29"/>
  <c r="T40" i="29" s="1"/>
  <c r="M41" i="29"/>
  <c r="T41" i="29" s="1"/>
  <c r="M42" i="29"/>
  <c r="T42" i="29" s="1"/>
  <c r="M43" i="29"/>
  <c r="T43" i="29" s="1"/>
  <c r="M44" i="29"/>
  <c r="T44" i="29" s="1"/>
  <c r="M45" i="29"/>
  <c r="T45" i="29" s="1"/>
  <c r="M46" i="29"/>
  <c r="T46" i="29" s="1"/>
  <c r="M47" i="29"/>
  <c r="T47" i="29" s="1"/>
  <c r="M48" i="29"/>
  <c r="T48" i="29" s="1"/>
  <c r="M49" i="29"/>
  <c r="T49" i="29" s="1"/>
  <c r="M50" i="29"/>
  <c r="T50" i="29" s="1"/>
  <c r="M51" i="29"/>
  <c r="T51" i="29" s="1"/>
  <c r="M52" i="29"/>
  <c r="T52" i="29" s="1"/>
  <c r="M53" i="29"/>
  <c r="T53" i="29" s="1"/>
  <c r="M54" i="29"/>
  <c r="T54" i="29" s="1"/>
  <c r="M55" i="29"/>
  <c r="T55" i="29" s="1"/>
  <c r="M56" i="29"/>
  <c r="T56" i="29" s="1"/>
  <c r="M57" i="29"/>
  <c r="T57" i="29" s="1"/>
  <c r="M58" i="29"/>
  <c r="T58" i="29" s="1"/>
  <c r="M59" i="29"/>
  <c r="T59" i="29" s="1"/>
  <c r="M60" i="29"/>
  <c r="T60" i="29" s="1"/>
  <c r="M61" i="29"/>
  <c r="T61" i="29" s="1"/>
  <c r="M62" i="29"/>
  <c r="T62" i="29" s="1"/>
  <c r="M63" i="29"/>
  <c r="T63" i="29" s="1"/>
  <c r="M64" i="29"/>
  <c r="T64" i="29" s="1"/>
  <c r="M65" i="29"/>
  <c r="T65" i="29" s="1"/>
  <c r="M66" i="29"/>
  <c r="T66" i="29" s="1"/>
  <c r="M67" i="29"/>
  <c r="T67" i="29" s="1"/>
  <c r="M68" i="29"/>
  <c r="T68" i="29" s="1"/>
  <c r="M69" i="29"/>
  <c r="T69" i="29" s="1"/>
  <c r="M70" i="29"/>
  <c r="T70" i="29" s="1"/>
  <c r="M71" i="29"/>
  <c r="T71" i="29" s="1"/>
  <c r="M72" i="29"/>
  <c r="T72" i="29" s="1"/>
  <c r="M73" i="29"/>
  <c r="T73" i="29" s="1"/>
  <c r="M74" i="29"/>
  <c r="T74" i="29" s="1"/>
  <c r="M75" i="29"/>
  <c r="T75" i="29" s="1"/>
  <c r="M76" i="29"/>
  <c r="T76" i="29" s="1"/>
  <c r="M77" i="29"/>
  <c r="T77" i="29" s="1"/>
  <c r="M78" i="29"/>
  <c r="T78" i="29" s="1"/>
  <c r="M79" i="29"/>
  <c r="T79" i="29" s="1"/>
  <c r="M80" i="29"/>
  <c r="T80" i="29" s="1"/>
  <c r="M81" i="29"/>
  <c r="T81" i="29" s="1"/>
  <c r="M82" i="29"/>
  <c r="T82" i="29" s="1"/>
  <c r="M83" i="29"/>
  <c r="T83" i="29" s="1"/>
  <c r="M84" i="29"/>
  <c r="T84" i="29" s="1"/>
  <c r="M85" i="29"/>
  <c r="T85" i="29" s="1"/>
  <c r="M86" i="29"/>
  <c r="T86" i="29" s="1"/>
  <c r="M87" i="29"/>
  <c r="T87" i="29" s="1"/>
  <c r="M88" i="29"/>
  <c r="T88" i="29" s="1"/>
  <c r="M89" i="29"/>
  <c r="T89" i="29" s="1"/>
  <c r="M90" i="29"/>
  <c r="T90" i="29" s="1"/>
  <c r="M91" i="29"/>
  <c r="T91" i="29" s="1"/>
  <c r="M92" i="29"/>
  <c r="T92" i="29" s="1"/>
  <c r="M93" i="29"/>
  <c r="T93" i="29" s="1"/>
  <c r="M94" i="29"/>
  <c r="T94" i="29" s="1"/>
  <c r="M95" i="29"/>
  <c r="T95" i="29" s="1"/>
  <c r="M96" i="29"/>
  <c r="T96" i="29" s="1"/>
  <c r="M97" i="29"/>
  <c r="T97" i="29" s="1"/>
  <c r="M98" i="29"/>
  <c r="T98" i="29" s="1"/>
  <c r="M99" i="29"/>
  <c r="T99" i="29" s="1"/>
  <c r="M100" i="29"/>
  <c r="T100" i="29" s="1"/>
  <c r="M101" i="29"/>
  <c r="T101" i="29" s="1"/>
  <c r="M102" i="29"/>
  <c r="T102" i="29" s="1"/>
  <c r="M103" i="29"/>
  <c r="T103" i="29" s="1"/>
  <c r="M104" i="29"/>
  <c r="T104" i="29" s="1"/>
  <c r="M105" i="29"/>
  <c r="T105" i="29" s="1"/>
  <c r="M106" i="29"/>
  <c r="T106" i="29" s="1"/>
  <c r="M107" i="29"/>
  <c r="T107" i="29" s="1"/>
  <c r="M108" i="29"/>
  <c r="T108" i="29" s="1"/>
  <c r="M109" i="29"/>
  <c r="T109" i="29" s="1"/>
  <c r="M110" i="29"/>
  <c r="T110" i="29" s="1"/>
  <c r="M111" i="29"/>
  <c r="T111" i="29" s="1"/>
  <c r="M112" i="29"/>
  <c r="T112" i="29" s="1"/>
  <c r="M113" i="29"/>
  <c r="T113" i="29" s="1"/>
  <c r="M114" i="29"/>
  <c r="T114" i="29" s="1"/>
  <c r="M115" i="29"/>
  <c r="T115" i="29" s="1"/>
  <c r="M116" i="29"/>
  <c r="T116" i="29" s="1"/>
  <c r="M117" i="29"/>
  <c r="T117" i="29" s="1"/>
  <c r="M118" i="29"/>
  <c r="T118" i="29" s="1"/>
  <c r="M119" i="29"/>
  <c r="T119" i="29" s="1"/>
  <c r="M120" i="29"/>
  <c r="T120" i="29" s="1"/>
  <c r="M121" i="29"/>
  <c r="T121" i="29" s="1"/>
  <c r="M122" i="29"/>
  <c r="T122" i="29" s="1"/>
  <c r="M123" i="29"/>
  <c r="T123" i="29" s="1"/>
  <c r="M124" i="29"/>
  <c r="T124" i="29" s="1"/>
  <c r="M125" i="29"/>
  <c r="T125" i="29" s="1"/>
  <c r="M126" i="29"/>
  <c r="T126" i="29" s="1"/>
  <c r="M127" i="29"/>
  <c r="T127" i="29" s="1"/>
  <c r="M128" i="29"/>
  <c r="T128" i="29" s="1"/>
  <c r="M129" i="29"/>
  <c r="T129" i="29" s="1"/>
  <c r="M130" i="29"/>
  <c r="T130" i="29" s="1"/>
  <c r="M131" i="29"/>
  <c r="T131" i="29" s="1"/>
  <c r="M132" i="29"/>
  <c r="T132" i="29" s="1"/>
  <c r="M133" i="29"/>
  <c r="T133" i="29" s="1"/>
  <c r="M134" i="29"/>
  <c r="T134" i="29" s="1"/>
  <c r="M135" i="29"/>
  <c r="T135" i="29" s="1"/>
  <c r="M136" i="29"/>
  <c r="T136" i="29" s="1"/>
  <c r="M137" i="29"/>
  <c r="T137" i="29" s="1"/>
  <c r="M138" i="29"/>
  <c r="T138" i="29" s="1"/>
  <c r="M139" i="29"/>
  <c r="T139" i="29" s="1"/>
  <c r="M140" i="29"/>
  <c r="T140" i="29" s="1"/>
  <c r="M141" i="29"/>
  <c r="T141" i="29" s="1"/>
  <c r="M142" i="29"/>
  <c r="T142" i="29" s="1"/>
  <c r="M143" i="29"/>
  <c r="T143" i="29" s="1"/>
  <c r="M144" i="29"/>
  <c r="T144" i="29" s="1"/>
  <c r="M145" i="29"/>
  <c r="T145" i="29" s="1"/>
  <c r="M146" i="29"/>
  <c r="T146" i="29" s="1"/>
  <c r="M147" i="29"/>
  <c r="T147" i="29" s="1"/>
  <c r="M148" i="29"/>
  <c r="T148" i="29" s="1"/>
  <c r="M149" i="29"/>
  <c r="T149" i="29" s="1"/>
  <c r="M150" i="29"/>
  <c r="T150" i="29" s="1"/>
  <c r="M151" i="29"/>
  <c r="T151" i="29" s="1"/>
  <c r="M152" i="29"/>
  <c r="T152" i="29" s="1"/>
  <c r="M153" i="29"/>
  <c r="T153" i="29" s="1"/>
  <c r="M154" i="29"/>
  <c r="T154" i="29" s="1"/>
  <c r="M155" i="29"/>
  <c r="T155" i="29" s="1"/>
  <c r="M156" i="29"/>
  <c r="T156" i="29" s="1"/>
  <c r="M157" i="29"/>
  <c r="T157" i="29" s="1"/>
  <c r="M158" i="29"/>
  <c r="T158" i="29" s="1"/>
  <c r="M159" i="29"/>
  <c r="T159" i="29" s="1"/>
  <c r="M160" i="29"/>
  <c r="T160" i="29" s="1"/>
  <c r="M161" i="29"/>
  <c r="T161" i="29" s="1"/>
  <c r="M162" i="29"/>
  <c r="T162" i="29" s="1"/>
  <c r="M163" i="29"/>
  <c r="T163" i="29" s="1"/>
  <c r="M164" i="29"/>
  <c r="T164" i="29" s="1"/>
  <c r="M165" i="29"/>
  <c r="T165" i="29" s="1"/>
  <c r="M166" i="29"/>
  <c r="T166" i="29" s="1"/>
  <c r="M167" i="29"/>
  <c r="T167" i="29" s="1"/>
  <c r="M168" i="29"/>
  <c r="T168" i="29" s="1"/>
  <c r="M169" i="29"/>
  <c r="T169" i="29" s="1"/>
  <c r="M170" i="29"/>
  <c r="T170" i="29" s="1"/>
  <c r="M171" i="29"/>
  <c r="T171" i="29" s="1"/>
  <c r="M172" i="29"/>
  <c r="T172" i="29" s="1"/>
  <c r="M173" i="29"/>
  <c r="T173" i="29" s="1"/>
  <c r="M174" i="29"/>
  <c r="T174" i="29" s="1"/>
  <c r="M175" i="29"/>
  <c r="T175" i="29" s="1"/>
  <c r="M176" i="29"/>
  <c r="T176" i="29" s="1"/>
  <c r="M177" i="29"/>
  <c r="T177" i="29" s="1"/>
  <c r="M178" i="29"/>
  <c r="T178" i="29" s="1"/>
  <c r="M179" i="29"/>
  <c r="T179" i="29" s="1"/>
  <c r="M180" i="29"/>
  <c r="T180" i="29" s="1"/>
  <c r="M181" i="29"/>
  <c r="T181" i="29" s="1"/>
  <c r="M182" i="29"/>
  <c r="T182" i="29" s="1"/>
  <c r="M183" i="29"/>
  <c r="T183" i="29" s="1"/>
  <c r="M184" i="29"/>
  <c r="T184" i="29" s="1"/>
  <c r="M185" i="29"/>
  <c r="T185" i="29" s="1"/>
  <c r="M186" i="29"/>
  <c r="T186" i="29" s="1"/>
  <c r="M187" i="29"/>
  <c r="T187" i="29" s="1"/>
  <c r="M188" i="29"/>
  <c r="T188" i="29" s="1"/>
  <c r="M189" i="29"/>
  <c r="T189" i="29" s="1"/>
  <c r="M190" i="29"/>
  <c r="T190" i="29" s="1"/>
  <c r="M191" i="29"/>
  <c r="T191" i="29" s="1"/>
  <c r="M192" i="29"/>
  <c r="T192" i="29" s="1"/>
  <c r="M193" i="29"/>
  <c r="T193" i="29" s="1"/>
  <c r="M194" i="29"/>
  <c r="T194" i="29" s="1"/>
  <c r="M195" i="29"/>
  <c r="T195" i="29" s="1"/>
  <c r="M196" i="29"/>
  <c r="T196" i="29" s="1"/>
  <c r="M197" i="29"/>
  <c r="T197" i="29" s="1"/>
  <c r="M198" i="29"/>
  <c r="T198" i="29" s="1"/>
  <c r="M199" i="29"/>
  <c r="T199" i="29" s="1"/>
  <c r="M200" i="29"/>
  <c r="T200" i="29" s="1"/>
  <c r="M201" i="29"/>
  <c r="T201" i="29" s="1"/>
  <c r="M202" i="29"/>
  <c r="T202" i="29" s="1"/>
  <c r="M203" i="29"/>
  <c r="T203" i="29" s="1"/>
  <c r="M204" i="29"/>
  <c r="T204" i="29" s="1"/>
  <c r="M205" i="29"/>
  <c r="T205" i="29" s="1"/>
  <c r="M206" i="29"/>
  <c r="T206" i="29" s="1"/>
  <c r="M207" i="29"/>
  <c r="T207" i="29" s="1"/>
  <c r="M208" i="29"/>
  <c r="T208" i="29" s="1"/>
  <c r="M209" i="29"/>
  <c r="T209" i="29" s="1"/>
  <c r="M210" i="29"/>
  <c r="T210" i="29" s="1"/>
  <c r="M211" i="29"/>
  <c r="T211" i="29" s="1"/>
  <c r="M212" i="29"/>
  <c r="T212" i="29" s="1"/>
  <c r="M213" i="29"/>
  <c r="T213" i="29" s="1"/>
  <c r="M214" i="29"/>
  <c r="T214" i="29" s="1"/>
  <c r="M215" i="29"/>
  <c r="T215" i="29" s="1"/>
  <c r="M216" i="29"/>
  <c r="T216" i="29" s="1"/>
  <c r="M217" i="29"/>
  <c r="T217" i="29" s="1"/>
  <c r="M218" i="29"/>
  <c r="T218" i="29" s="1"/>
  <c r="M219" i="29"/>
  <c r="T219" i="29" s="1"/>
  <c r="M220" i="29"/>
  <c r="M221" i="29"/>
  <c r="T221" i="29" s="1"/>
  <c r="M222" i="29"/>
  <c r="T222" i="29" s="1"/>
  <c r="M223" i="29"/>
  <c r="T223" i="29" s="1"/>
  <c r="M224" i="29"/>
  <c r="T224" i="29" s="1"/>
  <c r="M225" i="29"/>
  <c r="T225" i="29" s="1"/>
  <c r="M226" i="29"/>
  <c r="T226" i="29" s="1"/>
  <c r="M227" i="29"/>
  <c r="T227" i="29" s="1"/>
  <c r="M228" i="29"/>
  <c r="T228" i="29" s="1"/>
  <c r="M229" i="29"/>
  <c r="T229" i="29" s="1"/>
  <c r="M230" i="29"/>
  <c r="T230" i="29" s="1"/>
  <c r="M231" i="29"/>
  <c r="T231" i="29" s="1"/>
  <c r="M232" i="29"/>
  <c r="T232" i="29" s="1"/>
  <c r="M233" i="29"/>
  <c r="T233" i="29" s="1"/>
  <c r="M234" i="29"/>
  <c r="T234" i="29" s="1"/>
  <c r="M235" i="29"/>
  <c r="T235" i="29" s="1"/>
  <c r="M236" i="29"/>
  <c r="T236" i="29" s="1"/>
  <c r="M237" i="29"/>
  <c r="T237" i="29" s="1"/>
  <c r="M238" i="29"/>
  <c r="T238" i="29" s="1"/>
  <c r="M239" i="29"/>
  <c r="T239" i="29" s="1"/>
  <c r="M240" i="29"/>
  <c r="T240" i="29" s="1"/>
  <c r="M241" i="29"/>
  <c r="T241" i="29" s="1"/>
  <c r="M242" i="29"/>
  <c r="T242" i="29" s="1"/>
  <c r="M243" i="29"/>
  <c r="T243" i="29" s="1"/>
  <c r="M244" i="29"/>
  <c r="T244" i="29" s="1"/>
  <c r="M245" i="29"/>
  <c r="T245" i="29" s="1"/>
  <c r="M246" i="29"/>
  <c r="T246" i="29" s="1"/>
  <c r="M247" i="29"/>
  <c r="T247" i="29" s="1"/>
  <c r="M248" i="29"/>
  <c r="T248" i="29" s="1"/>
  <c r="M249" i="29"/>
  <c r="T249" i="29" s="1"/>
  <c r="M250" i="29"/>
  <c r="T250" i="29" s="1"/>
  <c r="M251" i="29"/>
  <c r="T251" i="29" s="1"/>
  <c r="M252" i="29"/>
  <c r="T252" i="29" s="1"/>
  <c r="M253" i="29"/>
  <c r="T253" i="29" s="1"/>
  <c r="M254" i="29"/>
  <c r="T254" i="29" s="1"/>
  <c r="M255" i="29"/>
  <c r="T255" i="29" s="1"/>
  <c r="M256" i="29"/>
  <c r="T256" i="29" s="1"/>
  <c r="M257" i="29"/>
  <c r="T257" i="29" s="1"/>
  <c r="M258" i="29"/>
  <c r="T258" i="29" s="1"/>
  <c r="M259" i="29"/>
  <c r="T259" i="29" s="1"/>
  <c r="M260" i="29"/>
  <c r="T260" i="29" s="1"/>
  <c r="M261" i="29"/>
  <c r="T261" i="29" s="1"/>
  <c r="M262" i="29"/>
  <c r="T262" i="29" s="1"/>
  <c r="M263" i="29"/>
  <c r="T263" i="29" s="1"/>
  <c r="M264" i="29"/>
  <c r="T264" i="29" s="1"/>
  <c r="M265" i="29"/>
  <c r="T265" i="29" s="1"/>
  <c r="M266" i="29"/>
  <c r="T266" i="29" s="1"/>
  <c r="M267" i="29"/>
  <c r="T267" i="29" s="1"/>
  <c r="M268" i="29"/>
  <c r="T268" i="29" s="1"/>
  <c r="M269" i="29"/>
  <c r="T269" i="29" s="1"/>
  <c r="M270" i="29"/>
  <c r="T270" i="29" s="1"/>
  <c r="M271" i="29"/>
  <c r="T271" i="29" s="1"/>
  <c r="M272" i="29"/>
  <c r="T272" i="29" s="1"/>
  <c r="M273" i="29"/>
  <c r="T273" i="29" s="1"/>
  <c r="M274" i="29"/>
  <c r="T274" i="29" s="1"/>
  <c r="M275" i="29"/>
  <c r="T275" i="29" s="1"/>
  <c r="M276" i="29"/>
  <c r="T276" i="29" s="1"/>
  <c r="M277" i="29"/>
  <c r="T277" i="29" s="1"/>
  <c r="M278" i="29"/>
  <c r="T278" i="29" s="1"/>
  <c r="M279" i="29"/>
  <c r="T279" i="29" s="1"/>
  <c r="M280" i="29"/>
  <c r="T280" i="29" s="1"/>
  <c r="M281" i="29"/>
  <c r="T281" i="29" s="1"/>
  <c r="M282" i="29"/>
  <c r="T282" i="29" s="1"/>
  <c r="M283" i="29"/>
  <c r="T283" i="29" s="1"/>
  <c r="M284" i="29"/>
  <c r="T284" i="29" s="1"/>
  <c r="M285" i="29"/>
  <c r="T285" i="29" s="1"/>
  <c r="M286" i="29"/>
  <c r="T286" i="29" s="1"/>
  <c r="M287" i="29"/>
  <c r="T287" i="29" s="1"/>
  <c r="M288" i="29"/>
  <c r="T288" i="29" s="1"/>
  <c r="M289" i="29"/>
  <c r="T289" i="29" s="1"/>
  <c r="M290" i="29"/>
  <c r="T290" i="29" s="1"/>
  <c r="M291" i="29"/>
  <c r="T291" i="29" s="1"/>
  <c r="M292" i="29"/>
  <c r="T292" i="29" s="1"/>
  <c r="M293" i="29"/>
  <c r="T293" i="29" s="1"/>
  <c r="M294" i="29"/>
  <c r="T294" i="29" s="1"/>
  <c r="M295" i="29"/>
  <c r="T295" i="29" s="1"/>
  <c r="M296" i="29"/>
  <c r="T296" i="29" s="1"/>
  <c r="M297" i="29"/>
  <c r="T297" i="29" s="1"/>
  <c r="M298" i="29"/>
  <c r="T298" i="29" s="1"/>
  <c r="M299" i="29"/>
  <c r="T299" i="29" s="1"/>
  <c r="M300" i="29"/>
  <c r="T300" i="29" s="1"/>
  <c r="M301" i="29"/>
  <c r="T301" i="29" s="1"/>
  <c r="M302" i="29"/>
  <c r="T302" i="29" s="1"/>
  <c r="M303" i="29"/>
  <c r="T303" i="29" s="1"/>
  <c r="M304" i="29"/>
  <c r="T304" i="29" s="1"/>
  <c r="M305" i="29"/>
  <c r="T305" i="29" s="1"/>
  <c r="M306" i="29"/>
  <c r="T306" i="29" s="1"/>
  <c r="M307" i="29"/>
  <c r="T307" i="29" s="1"/>
  <c r="AE6" i="53"/>
  <c r="Y6" i="53"/>
  <c r="N9" i="3"/>
  <c r="O9" i="3"/>
  <c r="P9" i="3"/>
  <c r="N10" i="3"/>
  <c r="O10" i="3"/>
  <c r="P10" i="3"/>
  <c r="N11" i="3"/>
  <c r="O11" i="3"/>
  <c r="P11" i="3"/>
  <c r="N12" i="3"/>
  <c r="O12" i="3"/>
  <c r="P12" i="3"/>
  <c r="N13" i="3"/>
  <c r="O13" i="3"/>
  <c r="P13" i="3"/>
  <c r="N14" i="3"/>
  <c r="O14" i="3"/>
  <c r="P14" i="3"/>
  <c r="N15" i="3"/>
  <c r="O15" i="3"/>
  <c r="P15" i="3"/>
  <c r="N16" i="3"/>
  <c r="O16" i="3"/>
  <c r="P16" i="3"/>
  <c r="N17" i="3"/>
  <c r="O17" i="3"/>
  <c r="P17" i="3"/>
  <c r="N18" i="3"/>
  <c r="O18" i="3"/>
  <c r="P18" i="3"/>
  <c r="N19" i="3"/>
  <c r="O19" i="3"/>
  <c r="P19" i="3"/>
  <c r="N20" i="3"/>
  <c r="O20" i="3"/>
  <c r="P20" i="3"/>
  <c r="N21" i="3"/>
  <c r="O21" i="3"/>
  <c r="P21" i="3"/>
  <c r="N22" i="3"/>
  <c r="O22" i="3"/>
  <c r="P22" i="3"/>
  <c r="N23" i="3"/>
  <c r="O23" i="3"/>
  <c r="P23" i="3"/>
  <c r="N24" i="3"/>
  <c r="O24" i="3"/>
  <c r="P24" i="3"/>
  <c r="N25" i="3"/>
  <c r="O25" i="3"/>
  <c r="P25" i="3"/>
  <c r="N26" i="3"/>
  <c r="O26" i="3"/>
  <c r="P26" i="3"/>
  <c r="N27" i="3"/>
  <c r="O27" i="3"/>
  <c r="P27" i="3"/>
  <c r="N28" i="3"/>
  <c r="O28" i="3"/>
  <c r="P28" i="3"/>
  <c r="N29" i="3"/>
  <c r="O29" i="3"/>
  <c r="P29" i="3"/>
  <c r="N30" i="3"/>
  <c r="O30" i="3"/>
  <c r="P30" i="3"/>
  <c r="N31" i="3"/>
  <c r="O31" i="3"/>
  <c r="P31" i="3"/>
  <c r="N32" i="3"/>
  <c r="O32" i="3"/>
  <c r="P32" i="3"/>
  <c r="N33" i="3"/>
  <c r="O33" i="3"/>
  <c r="P33" i="3"/>
  <c r="N34" i="3"/>
  <c r="O34" i="3"/>
  <c r="P34" i="3"/>
  <c r="N35" i="3"/>
  <c r="O35" i="3"/>
  <c r="P35" i="3"/>
  <c r="N36" i="3"/>
  <c r="O36" i="3"/>
  <c r="P36" i="3"/>
  <c r="N37" i="3"/>
  <c r="O37" i="3"/>
  <c r="P37" i="3"/>
  <c r="N38" i="3"/>
  <c r="O38" i="3"/>
  <c r="P38" i="3"/>
  <c r="N39" i="3"/>
  <c r="O39" i="3"/>
  <c r="P39" i="3"/>
  <c r="N40" i="3"/>
  <c r="O40" i="3"/>
  <c r="P40" i="3"/>
  <c r="N41" i="3"/>
  <c r="O41" i="3"/>
  <c r="P41" i="3"/>
  <c r="N42" i="3"/>
  <c r="O42" i="3"/>
  <c r="P42" i="3"/>
  <c r="N43" i="3"/>
  <c r="O43" i="3"/>
  <c r="P43" i="3"/>
  <c r="N44" i="3"/>
  <c r="O44" i="3"/>
  <c r="P44" i="3"/>
  <c r="N45" i="3"/>
  <c r="O45" i="3"/>
  <c r="P45" i="3"/>
  <c r="N46" i="3"/>
  <c r="O46" i="3"/>
  <c r="P46" i="3"/>
  <c r="N47" i="3"/>
  <c r="O47" i="3"/>
  <c r="P47" i="3"/>
  <c r="N48" i="3"/>
  <c r="O48" i="3"/>
  <c r="P48" i="3"/>
  <c r="N49" i="3"/>
  <c r="O49" i="3"/>
  <c r="P49" i="3"/>
  <c r="N50" i="3"/>
  <c r="O50" i="3"/>
  <c r="P50" i="3"/>
  <c r="N51" i="3"/>
  <c r="O51" i="3"/>
  <c r="P51" i="3"/>
  <c r="N52" i="3"/>
  <c r="O52" i="3"/>
  <c r="P52" i="3"/>
  <c r="N53" i="3"/>
  <c r="O53" i="3"/>
  <c r="P53" i="3"/>
  <c r="N54" i="3"/>
  <c r="O54" i="3"/>
  <c r="P54" i="3"/>
  <c r="N55" i="3"/>
  <c r="O55" i="3"/>
  <c r="P55" i="3"/>
  <c r="N56" i="3"/>
  <c r="O56" i="3"/>
  <c r="P56" i="3"/>
  <c r="N57" i="3"/>
  <c r="O57" i="3"/>
  <c r="P57" i="3"/>
  <c r="N58" i="3"/>
  <c r="O58" i="3"/>
  <c r="P58" i="3"/>
  <c r="N59" i="3"/>
  <c r="O59" i="3"/>
  <c r="P59" i="3"/>
  <c r="N60" i="3"/>
  <c r="O60" i="3"/>
  <c r="P60" i="3"/>
  <c r="N61" i="3"/>
  <c r="O61" i="3"/>
  <c r="P61" i="3"/>
  <c r="N62" i="3"/>
  <c r="O62" i="3"/>
  <c r="P62" i="3"/>
  <c r="N63" i="3"/>
  <c r="O63" i="3"/>
  <c r="P63" i="3"/>
  <c r="N64" i="3"/>
  <c r="O64" i="3"/>
  <c r="P64" i="3"/>
  <c r="N65" i="3"/>
  <c r="O65" i="3"/>
  <c r="P65" i="3"/>
  <c r="N66" i="3"/>
  <c r="O66" i="3"/>
  <c r="P66" i="3"/>
  <c r="N67" i="3"/>
  <c r="O67" i="3"/>
  <c r="P67" i="3"/>
  <c r="N68" i="3"/>
  <c r="O68" i="3"/>
  <c r="P68" i="3"/>
  <c r="N69" i="3"/>
  <c r="O69" i="3"/>
  <c r="P69" i="3"/>
  <c r="N70" i="3"/>
  <c r="O70" i="3"/>
  <c r="P70" i="3"/>
  <c r="N71" i="3"/>
  <c r="O71" i="3"/>
  <c r="P71" i="3"/>
  <c r="N72" i="3"/>
  <c r="O72" i="3"/>
  <c r="P72" i="3"/>
  <c r="N73" i="3"/>
  <c r="O73" i="3"/>
  <c r="P73" i="3"/>
  <c r="N74" i="3"/>
  <c r="O74" i="3"/>
  <c r="P74" i="3"/>
  <c r="N75" i="3"/>
  <c r="O75" i="3"/>
  <c r="P75" i="3"/>
  <c r="N76" i="3"/>
  <c r="O76" i="3"/>
  <c r="P76" i="3"/>
  <c r="N77" i="3"/>
  <c r="O77" i="3"/>
  <c r="P77" i="3"/>
  <c r="N78" i="3"/>
  <c r="O78" i="3"/>
  <c r="P78" i="3"/>
  <c r="N79" i="3"/>
  <c r="O79" i="3"/>
  <c r="P79" i="3"/>
  <c r="N80" i="3"/>
  <c r="O80" i="3"/>
  <c r="P80" i="3"/>
  <c r="N81" i="3"/>
  <c r="O81" i="3"/>
  <c r="P81" i="3"/>
  <c r="N82" i="3"/>
  <c r="O82" i="3"/>
  <c r="P82" i="3"/>
  <c r="N83" i="3"/>
  <c r="O83" i="3"/>
  <c r="P83" i="3"/>
  <c r="N84" i="3"/>
  <c r="O84" i="3"/>
  <c r="P84" i="3"/>
  <c r="N85" i="3"/>
  <c r="O85" i="3"/>
  <c r="P85" i="3"/>
  <c r="N86" i="3"/>
  <c r="O86" i="3"/>
  <c r="P86" i="3"/>
  <c r="N87" i="3"/>
  <c r="O87" i="3"/>
  <c r="P87" i="3"/>
  <c r="N88" i="3"/>
  <c r="O88" i="3"/>
  <c r="P88" i="3"/>
  <c r="N89" i="3"/>
  <c r="O89" i="3"/>
  <c r="P89" i="3"/>
  <c r="N90" i="3"/>
  <c r="O90" i="3"/>
  <c r="P90" i="3"/>
  <c r="N91" i="3"/>
  <c r="O91" i="3"/>
  <c r="P91" i="3"/>
  <c r="N92" i="3"/>
  <c r="O92" i="3"/>
  <c r="P92" i="3"/>
  <c r="N93" i="3"/>
  <c r="O93" i="3"/>
  <c r="P93" i="3"/>
  <c r="N94" i="3"/>
  <c r="O94" i="3"/>
  <c r="P94" i="3"/>
  <c r="N95" i="3"/>
  <c r="O95" i="3"/>
  <c r="P95" i="3"/>
  <c r="N96" i="3"/>
  <c r="O96" i="3"/>
  <c r="P96" i="3"/>
  <c r="N97" i="3"/>
  <c r="O97" i="3"/>
  <c r="P97" i="3"/>
  <c r="N98" i="3"/>
  <c r="O98" i="3"/>
  <c r="P98" i="3"/>
  <c r="N99" i="3"/>
  <c r="O99" i="3"/>
  <c r="P99" i="3"/>
  <c r="N100" i="3"/>
  <c r="O100" i="3"/>
  <c r="P100" i="3"/>
  <c r="N101" i="3"/>
  <c r="O101" i="3"/>
  <c r="P101" i="3"/>
  <c r="N102" i="3"/>
  <c r="O102" i="3"/>
  <c r="P102" i="3"/>
  <c r="N103" i="3"/>
  <c r="O103" i="3"/>
  <c r="P103" i="3"/>
  <c r="N104" i="3"/>
  <c r="O104" i="3"/>
  <c r="P104" i="3"/>
  <c r="N105" i="3"/>
  <c r="O105" i="3"/>
  <c r="P105" i="3"/>
  <c r="N106" i="3"/>
  <c r="O106" i="3"/>
  <c r="P106" i="3"/>
  <c r="N107" i="3"/>
  <c r="O107" i="3"/>
  <c r="P107" i="3"/>
  <c r="N108" i="3"/>
  <c r="O108" i="3"/>
  <c r="P108" i="3"/>
  <c r="N109" i="3"/>
  <c r="O109" i="3"/>
  <c r="P109" i="3"/>
  <c r="N110" i="3"/>
  <c r="O110" i="3"/>
  <c r="P110" i="3"/>
  <c r="N111" i="3"/>
  <c r="O111" i="3"/>
  <c r="P111" i="3"/>
  <c r="N112" i="3"/>
  <c r="O112" i="3"/>
  <c r="P112" i="3"/>
  <c r="N113" i="3"/>
  <c r="O113" i="3"/>
  <c r="P113" i="3"/>
  <c r="N114" i="3"/>
  <c r="O114" i="3"/>
  <c r="P114" i="3"/>
  <c r="N115" i="3"/>
  <c r="O115" i="3"/>
  <c r="P115" i="3"/>
  <c r="N116" i="3"/>
  <c r="O116" i="3"/>
  <c r="P116" i="3"/>
  <c r="N117" i="3"/>
  <c r="O117" i="3"/>
  <c r="P117" i="3"/>
  <c r="N118" i="3"/>
  <c r="O118" i="3"/>
  <c r="P118" i="3"/>
  <c r="N119" i="3"/>
  <c r="O119" i="3"/>
  <c r="P119" i="3"/>
  <c r="N120" i="3"/>
  <c r="O120" i="3"/>
  <c r="P120" i="3"/>
  <c r="N121" i="3"/>
  <c r="O121" i="3"/>
  <c r="P121" i="3"/>
  <c r="N122" i="3"/>
  <c r="O122" i="3"/>
  <c r="P122" i="3"/>
  <c r="N123" i="3"/>
  <c r="O123" i="3"/>
  <c r="P123" i="3"/>
  <c r="N124" i="3"/>
  <c r="O124" i="3"/>
  <c r="P124" i="3"/>
  <c r="N125" i="3"/>
  <c r="O125" i="3"/>
  <c r="P125" i="3"/>
  <c r="N126" i="3"/>
  <c r="O126" i="3"/>
  <c r="P126" i="3"/>
  <c r="N127" i="3"/>
  <c r="O127" i="3"/>
  <c r="P127" i="3"/>
  <c r="N128" i="3"/>
  <c r="O128" i="3"/>
  <c r="P128" i="3"/>
  <c r="N129" i="3"/>
  <c r="O129" i="3"/>
  <c r="P129" i="3"/>
  <c r="N130" i="3"/>
  <c r="O130" i="3"/>
  <c r="P130" i="3"/>
  <c r="N131" i="3"/>
  <c r="O131" i="3"/>
  <c r="P131" i="3"/>
  <c r="N132" i="3"/>
  <c r="O132" i="3"/>
  <c r="P132" i="3"/>
  <c r="N133" i="3"/>
  <c r="O133" i="3"/>
  <c r="P133" i="3"/>
  <c r="N134" i="3"/>
  <c r="O134" i="3"/>
  <c r="P134" i="3"/>
  <c r="N135" i="3"/>
  <c r="O135" i="3"/>
  <c r="P135" i="3"/>
  <c r="N136" i="3"/>
  <c r="O136" i="3"/>
  <c r="P136" i="3"/>
  <c r="N137" i="3"/>
  <c r="O137" i="3"/>
  <c r="P137" i="3"/>
  <c r="N138" i="3"/>
  <c r="O138" i="3"/>
  <c r="P138" i="3"/>
  <c r="N139" i="3"/>
  <c r="O139" i="3"/>
  <c r="P139" i="3"/>
  <c r="N140" i="3"/>
  <c r="O140" i="3"/>
  <c r="P140" i="3"/>
  <c r="N141" i="3"/>
  <c r="O141" i="3"/>
  <c r="P141" i="3"/>
  <c r="N142" i="3"/>
  <c r="O142" i="3"/>
  <c r="P142" i="3"/>
  <c r="N143" i="3"/>
  <c r="O143" i="3"/>
  <c r="P143" i="3"/>
  <c r="N144" i="3"/>
  <c r="O144" i="3"/>
  <c r="P144" i="3"/>
  <c r="N145" i="3"/>
  <c r="O145" i="3"/>
  <c r="P145" i="3"/>
  <c r="N146" i="3"/>
  <c r="O146" i="3"/>
  <c r="P146" i="3"/>
  <c r="N147" i="3"/>
  <c r="O147" i="3"/>
  <c r="P147" i="3"/>
  <c r="N148" i="3"/>
  <c r="O148" i="3"/>
  <c r="P148" i="3"/>
  <c r="N149" i="3"/>
  <c r="O149" i="3"/>
  <c r="P149" i="3"/>
  <c r="N150" i="3"/>
  <c r="O150" i="3"/>
  <c r="P150" i="3"/>
  <c r="N151" i="3"/>
  <c r="O151" i="3"/>
  <c r="P151" i="3"/>
  <c r="N152" i="3"/>
  <c r="O152" i="3"/>
  <c r="P152" i="3"/>
  <c r="N153" i="3"/>
  <c r="O153" i="3"/>
  <c r="P153" i="3"/>
  <c r="N154" i="3"/>
  <c r="O154" i="3"/>
  <c r="P154" i="3"/>
  <c r="N155" i="3"/>
  <c r="O155" i="3"/>
  <c r="P155" i="3"/>
  <c r="N156" i="3"/>
  <c r="O156" i="3"/>
  <c r="P156" i="3"/>
  <c r="N157" i="3"/>
  <c r="O157" i="3"/>
  <c r="P157" i="3"/>
  <c r="N158" i="3"/>
  <c r="O158" i="3"/>
  <c r="P158" i="3"/>
  <c r="N159" i="3"/>
  <c r="O159" i="3"/>
  <c r="P159" i="3"/>
  <c r="N160" i="3"/>
  <c r="O160" i="3"/>
  <c r="P160" i="3"/>
  <c r="N161" i="3"/>
  <c r="O161" i="3"/>
  <c r="P161" i="3"/>
  <c r="N162" i="3"/>
  <c r="O162" i="3"/>
  <c r="P162" i="3"/>
  <c r="N163" i="3"/>
  <c r="O163" i="3"/>
  <c r="P163" i="3"/>
  <c r="N164" i="3"/>
  <c r="O164" i="3"/>
  <c r="P164" i="3"/>
  <c r="N165" i="3"/>
  <c r="O165" i="3"/>
  <c r="P165" i="3"/>
  <c r="N166" i="3"/>
  <c r="O166" i="3"/>
  <c r="P166" i="3"/>
  <c r="N167" i="3"/>
  <c r="O167" i="3"/>
  <c r="P167" i="3"/>
  <c r="N168" i="3"/>
  <c r="O168" i="3"/>
  <c r="P168" i="3"/>
  <c r="N169" i="3"/>
  <c r="O169" i="3"/>
  <c r="P169" i="3"/>
  <c r="N170" i="3"/>
  <c r="O170" i="3"/>
  <c r="P170" i="3"/>
  <c r="N171" i="3"/>
  <c r="O171" i="3"/>
  <c r="P171" i="3"/>
  <c r="N172" i="3"/>
  <c r="O172" i="3"/>
  <c r="P172" i="3"/>
  <c r="N173" i="3"/>
  <c r="O173" i="3"/>
  <c r="P173" i="3"/>
  <c r="N174" i="3"/>
  <c r="O174" i="3"/>
  <c r="P174" i="3"/>
  <c r="N175" i="3"/>
  <c r="O175" i="3"/>
  <c r="P175" i="3"/>
  <c r="N176" i="3"/>
  <c r="O176" i="3"/>
  <c r="P176" i="3"/>
  <c r="N177" i="3"/>
  <c r="O177" i="3"/>
  <c r="P177" i="3"/>
  <c r="N178" i="3"/>
  <c r="O178" i="3"/>
  <c r="P178" i="3"/>
  <c r="N179" i="3"/>
  <c r="O179" i="3"/>
  <c r="P179" i="3"/>
  <c r="N180" i="3"/>
  <c r="O180" i="3"/>
  <c r="P180" i="3"/>
  <c r="N181" i="3"/>
  <c r="O181" i="3"/>
  <c r="P181" i="3"/>
  <c r="N182" i="3"/>
  <c r="O182" i="3"/>
  <c r="P182" i="3"/>
  <c r="N183" i="3"/>
  <c r="O183" i="3"/>
  <c r="P183" i="3"/>
  <c r="N184" i="3"/>
  <c r="O184" i="3"/>
  <c r="P184" i="3"/>
  <c r="N185" i="3"/>
  <c r="O185" i="3"/>
  <c r="P185" i="3"/>
  <c r="N186" i="3"/>
  <c r="O186" i="3"/>
  <c r="P186" i="3"/>
  <c r="N187" i="3"/>
  <c r="O187" i="3"/>
  <c r="P187" i="3"/>
  <c r="N188" i="3"/>
  <c r="O188" i="3"/>
  <c r="P188" i="3"/>
  <c r="N189" i="3"/>
  <c r="O189" i="3"/>
  <c r="P189" i="3"/>
  <c r="N190" i="3"/>
  <c r="O190" i="3"/>
  <c r="P190" i="3"/>
  <c r="N191" i="3"/>
  <c r="O191" i="3"/>
  <c r="P191" i="3"/>
  <c r="N192" i="3"/>
  <c r="O192" i="3"/>
  <c r="P192" i="3"/>
  <c r="N193" i="3"/>
  <c r="O193" i="3"/>
  <c r="P193" i="3"/>
  <c r="N194" i="3"/>
  <c r="O194" i="3"/>
  <c r="P194" i="3"/>
  <c r="N195" i="3"/>
  <c r="O195" i="3"/>
  <c r="P195" i="3"/>
  <c r="N196" i="3"/>
  <c r="O196" i="3"/>
  <c r="P196" i="3"/>
  <c r="N197" i="3"/>
  <c r="O197" i="3"/>
  <c r="P197" i="3"/>
  <c r="N198" i="3"/>
  <c r="O198" i="3"/>
  <c r="P198" i="3"/>
  <c r="N199" i="3"/>
  <c r="O199" i="3"/>
  <c r="P199" i="3"/>
  <c r="N200" i="3"/>
  <c r="O200" i="3"/>
  <c r="P200" i="3"/>
  <c r="N201" i="3"/>
  <c r="O201" i="3"/>
  <c r="P201" i="3"/>
  <c r="N202" i="3"/>
  <c r="O202" i="3"/>
  <c r="P202" i="3"/>
  <c r="N203" i="3"/>
  <c r="O203" i="3"/>
  <c r="P203" i="3"/>
  <c r="N204" i="3"/>
  <c r="O204" i="3"/>
  <c r="P204" i="3"/>
  <c r="N205" i="3"/>
  <c r="O205" i="3"/>
  <c r="P205" i="3"/>
  <c r="N206" i="3"/>
  <c r="O206" i="3"/>
  <c r="P206" i="3"/>
  <c r="N207" i="3"/>
  <c r="O207" i="3"/>
  <c r="P207" i="3"/>
  <c r="N208" i="3"/>
  <c r="O208" i="3"/>
  <c r="P208" i="3"/>
  <c r="N209" i="3"/>
  <c r="O209" i="3"/>
  <c r="P209" i="3"/>
  <c r="N210" i="3"/>
  <c r="O210" i="3"/>
  <c r="P210" i="3"/>
  <c r="N211" i="3"/>
  <c r="O211" i="3"/>
  <c r="P211" i="3"/>
  <c r="N212" i="3"/>
  <c r="O212" i="3"/>
  <c r="P212" i="3"/>
  <c r="N213" i="3"/>
  <c r="O213" i="3"/>
  <c r="P213" i="3"/>
  <c r="N214" i="3"/>
  <c r="O214" i="3"/>
  <c r="P214" i="3"/>
  <c r="N215" i="3"/>
  <c r="O215" i="3"/>
  <c r="P215" i="3"/>
  <c r="N216" i="3"/>
  <c r="O216" i="3"/>
  <c r="P216" i="3"/>
  <c r="N217" i="3"/>
  <c r="O217" i="3"/>
  <c r="P217" i="3"/>
  <c r="N218" i="3"/>
  <c r="O218" i="3"/>
  <c r="P218" i="3"/>
  <c r="N219" i="3"/>
  <c r="O219" i="3"/>
  <c r="P219" i="3"/>
  <c r="N220" i="3"/>
  <c r="O220" i="3"/>
  <c r="P220" i="3"/>
  <c r="N221" i="3"/>
  <c r="O221" i="3"/>
  <c r="P221" i="3"/>
  <c r="N222" i="3"/>
  <c r="O222" i="3"/>
  <c r="P222" i="3"/>
  <c r="N223" i="3"/>
  <c r="O223" i="3"/>
  <c r="P223" i="3"/>
  <c r="N224" i="3"/>
  <c r="O224" i="3"/>
  <c r="P224" i="3"/>
  <c r="N225" i="3"/>
  <c r="O225" i="3"/>
  <c r="P225" i="3"/>
  <c r="N226" i="3"/>
  <c r="O226" i="3"/>
  <c r="P226" i="3"/>
  <c r="N227" i="3"/>
  <c r="O227" i="3"/>
  <c r="P227" i="3"/>
  <c r="N228" i="3"/>
  <c r="O228" i="3"/>
  <c r="P228" i="3"/>
  <c r="N229" i="3"/>
  <c r="O229" i="3"/>
  <c r="P229" i="3"/>
  <c r="N230" i="3"/>
  <c r="O230" i="3"/>
  <c r="P230" i="3"/>
  <c r="N231" i="3"/>
  <c r="O231" i="3"/>
  <c r="P231" i="3"/>
  <c r="N232" i="3"/>
  <c r="O232" i="3"/>
  <c r="P232" i="3"/>
  <c r="N233" i="3"/>
  <c r="O233" i="3"/>
  <c r="P233" i="3"/>
  <c r="N234" i="3"/>
  <c r="O234" i="3"/>
  <c r="P234" i="3"/>
  <c r="N235" i="3"/>
  <c r="O235" i="3"/>
  <c r="P235" i="3"/>
  <c r="N236" i="3"/>
  <c r="O236" i="3"/>
  <c r="P236" i="3"/>
  <c r="N237" i="3"/>
  <c r="O237" i="3"/>
  <c r="P237" i="3"/>
  <c r="N238" i="3"/>
  <c r="O238" i="3"/>
  <c r="P238" i="3"/>
  <c r="N239" i="3"/>
  <c r="O239" i="3"/>
  <c r="P239" i="3"/>
  <c r="N240" i="3"/>
  <c r="O240" i="3"/>
  <c r="P240" i="3"/>
  <c r="N241" i="3"/>
  <c r="O241" i="3"/>
  <c r="P241" i="3"/>
  <c r="N242" i="3"/>
  <c r="O242" i="3"/>
  <c r="P242" i="3"/>
  <c r="N243" i="3"/>
  <c r="O243" i="3"/>
  <c r="P243" i="3"/>
  <c r="N244" i="3"/>
  <c r="O244" i="3"/>
  <c r="P244" i="3"/>
  <c r="N245" i="3"/>
  <c r="O245" i="3"/>
  <c r="P245" i="3"/>
  <c r="N246" i="3"/>
  <c r="O246" i="3"/>
  <c r="P246" i="3"/>
  <c r="N247" i="3"/>
  <c r="O247" i="3"/>
  <c r="P247" i="3"/>
  <c r="N248" i="3"/>
  <c r="O248" i="3"/>
  <c r="P248" i="3"/>
  <c r="N249" i="3"/>
  <c r="O249" i="3"/>
  <c r="P249" i="3"/>
  <c r="N250" i="3"/>
  <c r="O250" i="3"/>
  <c r="P250" i="3"/>
  <c r="N251" i="3"/>
  <c r="O251" i="3"/>
  <c r="P251" i="3"/>
  <c r="N252" i="3"/>
  <c r="O252" i="3"/>
  <c r="P252" i="3"/>
  <c r="N253" i="3"/>
  <c r="O253" i="3"/>
  <c r="P253" i="3"/>
  <c r="N254" i="3"/>
  <c r="O254" i="3"/>
  <c r="P254" i="3"/>
  <c r="N255" i="3"/>
  <c r="O255" i="3"/>
  <c r="P255" i="3"/>
  <c r="N256" i="3"/>
  <c r="O256" i="3"/>
  <c r="P256" i="3"/>
  <c r="N257" i="3"/>
  <c r="O257" i="3"/>
  <c r="P257" i="3"/>
  <c r="N258" i="3"/>
  <c r="O258" i="3"/>
  <c r="P258" i="3"/>
  <c r="N259" i="3"/>
  <c r="O259" i="3"/>
  <c r="P259" i="3"/>
  <c r="N260" i="3"/>
  <c r="O260" i="3"/>
  <c r="P260" i="3"/>
  <c r="N261" i="3"/>
  <c r="O261" i="3"/>
  <c r="P261" i="3"/>
  <c r="N262" i="3"/>
  <c r="O262" i="3"/>
  <c r="P262" i="3"/>
  <c r="N263" i="3"/>
  <c r="O263" i="3"/>
  <c r="P263" i="3"/>
  <c r="N264" i="3"/>
  <c r="O264" i="3"/>
  <c r="P264" i="3"/>
  <c r="N265" i="3"/>
  <c r="O265" i="3"/>
  <c r="P265" i="3"/>
  <c r="N266" i="3"/>
  <c r="O266" i="3"/>
  <c r="P266" i="3"/>
  <c r="N267" i="3"/>
  <c r="O267" i="3"/>
  <c r="P267" i="3"/>
  <c r="N268" i="3"/>
  <c r="O268" i="3"/>
  <c r="P268" i="3"/>
  <c r="N269" i="3"/>
  <c r="O269" i="3"/>
  <c r="P269" i="3"/>
  <c r="N270" i="3"/>
  <c r="O270" i="3"/>
  <c r="P270" i="3"/>
  <c r="N271" i="3"/>
  <c r="O271" i="3"/>
  <c r="P271" i="3"/>
  <c r="N272" i="3"/>
  <c r="O272" i="3"/>
  <c r="P272" i="3"/>
  <c r="N273" i="3"/>
  <c r="O273" i="3"/>
  <c r="P273" i="3"/>
  <c r="N274" i="3"/>
  <c r="O274" i="3"/>
  <c r="P274" i="3"/>
  <c r="N275" i="3"/>
  <c r="O275" i="3"/>
  <c r="P275" i="3"/>
  <c r="N276" i="3"/>
  <c r="O276" i="3"/>
  <c r="P276" i="3"/>
  <c r="N277" i="3"/>
  <c r="O277" i="3"/>
  <c r="P277" i="3"/>
  <c r="N278" i="3"/>
  <c r="O278" i="3"/>
  <c r="P278" i="3"/>
  <c r="N279" i="3"/>
  <c r="O279" i="3"/>
  <c r="P279" i="3"/>
  <c r="N280" i="3"/>
  <c r="O280" i="3"/>
  <c r="P280" i="3"/>
  <c r="N281" i="3"/>
  <c r="O281" i="3"/>
  <c r="P281" i="3"/>
  <c r="N282" i="3"/>
  <c r="O282" i="3"/>
  <c r="P282" i="3"/>
  <c r="N283" i="3"/>
  <c r="O283" i="3"/>
  <c r="P283" i="3"/>
  <c r="N284" i="3"/>
  <c r="O284" i="3"/>
  <c r="P284" i="3"/>
  <c r="N285" i="3"/>
  <c r="O285" i="3"/>
  <c r="P285" i="3"/>
  <c r="N286" i="3"/>
  <c r="O286" i="3"/>
  <c r="P286" i="3"/>
  <c r="N287" i="3"/>
  <c r="O287" i="3"/>
  <c r="P287" i="3"/>
  <c r="N288" i="3"/>
  <c r="O288" i="3"/>
  <c r="P288" i="3"/>
  <c r="N289" i="3"/>
  <c r="O289" i="3"/>
  <c r="P289" i="3"/>
  <c r="N290" i="3"/>
  <c r="O290" i="3"/>
  <c r="P290" i="3"/>
  <c r="N291" i="3"/>
  <c r="O291" i="3"/>
  <c r="P291" i="3"/>
  <c r="N292" i="3"/>
  <c r="O292" i="3"/>
  <c r="P292" i="3"/>
  <c r="N293" i="3"/>
  <c r="O293" i="3"/>
  <c r="P293" i="3"/>
  <c r="N294" i="3"/>
  <c r="O294" i="3"/>
  <c r="P294" i="3"/>
  <c r="N295" i="3"/>
  <c r="O295" i="3"/>
  <c r="P295" i="3"/>
  <c r="N296" i="3"/>
  <c r="O296" i="3"/>
  <c r="P296" i="3"/>
  <c r="N297" i="3"/>
  <c r="O297" i="3"/>
  <c r="P297" i="3"/>
  <c r="N298" i="3"/>
  <c r="O298" i="3"/>
  <c r="P298" i="3"/>
  <c r="N299" i="3"/>
  <c r="O299" i="3"/>
  <c r="P299" i="3"/>
  <c r="N300" i="3"/>
  <c r="O300" i="3"/>
  <c r="P300" i="3"/>
  <c r="N301" i="3"/>
  <c r="O301" i="3"/>
  <c r="P301" i="3"/>
  <c r="N302" i="3"/>
  <c r="O302" i="3"/>
  <c r="P302" i="3"/>
  <c r="N303" i="3"/>
  <c r="O303" i="3"/>
  <c r="P303" i="3"/>
  <c r="N304" i="3"/>
  <c r="O304" i="3"/>
  <c r="P304" i="3"/>
  <c r="N305" i="3"/>
  <c r="O305" i="3"/>
  <c r="P305" i="3"/>
  <c r="N306" i="3"/>
  <c r="O306" i="3"/>
  <c r="P306" i="3"/>
  <c r="N307" i="3"/>
  <c r="O307" i="3"/>
  <c r="P307" i="3"/>
  <c r="O8" i="3"/>
  <c r="N8" i="3"/>
  <c r="S6" i="53"/>
  <c r="T6" i="53"/>
  <c r="U6" i="53"/>
  <c r="V6" i="53"/>
  <c r="R307" i="2"/>
  <c r="Q307" i="2"/>
  <c r="P307" i="2"/>
  <c r="O307" i="2"/>
  <c r="M307" i="2"/>
  <c r="L307" i="2"/>
  <c r="K307" i="2"/>
  <c r="J307" i="2"/>
  <c r="I307" i="2"/>
  <c r="H307" i="2"/>
  <c r="G307" i="2"/>
  <c r="F307" i="2"/>
  <c r="E307" i="2"/>
  <c r="B307" i="55"/>
  <c r="A307" i="55"/>
  <c r="N307" i="55" s="1"/>
  <c r="R306" i="2"/>
  <c r="Q306" i="2"/>
  <c r="P306" i="2"/>
  <c r="O306" i="2"/>
  <c r="M306" i="2"/>
  <c r="L306" i="2"/>
  <c r="K306" i="2"/>
  <c r="J306" i="2"/>
  <c r="I306" i="2"/>
  <c r="H306" i="2"/>
  <c r="G306" i="2"/>
  <c r="F306" i="2"/>
  <c r="E306" i="2"/>
  <c r="B306" i="55"/>
  <c r="A306" i="55"/>
  <c r="N306" i="55" s="1"/>
  <c r="R305" i="2"/>
  <c r="Q305" i="2"/>
  <c r="P305" i="2"/>
  <c r="O305" i="2"/>
  <c r="M305" i="2"/>
  <c r="L305" i="2"/>
  <c r="K305" i="2"/>
  <c r="J305" i="2"/>
  <c r="I305" i="2"/>
  <c r="H305" i="2"/>
  <c r="G305" i="2"/>
  <c r="F305" i="2"/>
  <c r="E305" i="2"/>
  <c r="B305" i="55"/>
  <c r="A305" i="55"/>
  <c r="N305" i="55" s="1"/>
  <c r="R304" i="2"/>
  <c r="Q304" i="2"/>
  <c r="P304" i="2"/>
  <c r="O304" i="2"/>
  <c r="M304" i="2"/>
  <c r="L304" i="2"/>
  <c r="K304" i="2"/>
  <c r="J304" i="2"/>
  <c r="I304" i="2"/>
  <c r="H304" i="2"/>
  <c r="G304" i="2"/>
  <c r="F304" i="2"/>
  <c r="E304" i="2"/>
  <c r="B304" i="55"/>
  <c r="A304" i="55"/>
  <c r="N304" i="55" s="1"/>
  <c r="R303" i="2"/>
  <c r="Q303" i="2"/>
  <c r="P303" i="2"/>
  <c r="O303" i="2"/>
  <c r="M303" i="2"/>
  <c r="L303" i="2"/>
  <c r="K303" i="2"/>
  <c r="J303" i="2"/>
  <c r="I303" i="2"/>
  <c r="H303" i="2"/>
  <c r="G303" i="2"/>
  <c r="F303" i="2"/>
  <c r="E303" i="2"/>
  <c r="B303" i="55"/>
  <c r="A303" i="55"/>
  <c r="N303" i="55" s="1"/>
  <c r="R302" i="2"/>
  <c r="Q302" i="2"/>
  <c r="P302" i="2"/>
  <c r="O302" i="2"/>
  <c r="M302" i="2"/>
  <c r="L302" i="2"/>
  <c r="K302" i="2"/>
  <c r="J302" i="2"/>
  <c r="I302" i="2"/>
  <c r="H302" i="2"/>
  <c r="G302" i="2"/>
  <c r="F302" i="2"/>
  <c r="E302" i="2"/>
  <c r="B302" i="55"/>
  <c r="A302" i="55"/>
  <c r="N302" i="55" s="1"/>
  <c r="R301" i="2"/>
  <c r="Q301" i="2"/>
  <c r="P301" i="2"/>
  <c r="O301" i="2"/>
  <c r="M301" i="2"/>
  <c r="L301" i="2"/>
  <c r="K301" i="2"/>
  <c r="J301" i="2"/>
  <c r="I301" i="2"/>
  <c r="H301" i="2"/>
  <c r="G301" i="2"/>
  <c r="F301" i="2"/>
  <c r="E301" i="2"/>
  <c r="B301" i="55"/>
  <c r="A301" i="55"/>
  <c r="N301" i="55" s="1"/>
  <c r="R300" i="2"/>
  <c r="Q300" i="2"/>
  <c r="P300" i="2"/>
  <c r="O300" i="2"/>
  <c r="M300" i="2"/>
  <c r="L300" i="2"/>
  <c r="K300" i="2"/>
  <c r="J300" i="2"/>
  <c r="I300" i="2"/>
  <c r="H300" i="2"/>
  <c r="G300" i="2"/>
  <c r="F300" i="2"/>
  <c r="E300" i="2"/>
  <c r="B300" i="55"/>
  <c r="A300" i="55"/>
  <c r="N300" i="55" s="1"/>
  <c r="R299" i="2"/>
  <c r="Q299" i="2"/>
  <c r="P299" i="2"/>
  <c r="O299" i="2"/>
  <c r="M299" i="2"/>
  <c r="L299" i="2"/>
  <c r="K299" i="2"/>
  <c r="J299" i="2"/>
  <c r="I299" i="2"/>
  <c r="H299" i="2"/>
  <c r="G299" i="2"/>
  <c r="F299" i="2"/>
  <c r="E299" i="2"/>
  <c r="B299" i="55"/>
  <c r="A299" i="55"/>
  <c r="N299" i="55" s="1"/>
  <c r="R298" i="2"/>
  <c r="Q298" i="2"/>
  <c r="P298" i="2"/>
  <c r="O298" i="2"/>
  <c r="M298" i="2"/>
  <c r="L298" i="2"/>
  <c r="K298" i="2"/>
  <c r="J298" i="2"/>
  <c r="I298" i="2"/>
  <c r="H298" i="2"/>
  <c r="G298" i="2"/>
  <c r="F298" i="2"/>
  <c r="E298" i="2"/>
  <c r="B298" i="55"/>
  <c r="A298" i="55"/>
  <c r="N298" i="55" s="1"/>
  <c r="R297" i="2"/>
  <c r="Q297" i="2"/>
  <c r="P297" i="2"/>
  <c r="O297" i="2"/>
  <c r="M297" i="2"/>
  <c r="L297" i="2"/>
  <c r="K297" i="2"/>
  <c r="J297" i="2"/>
  <c r="I297" i="2"/>
  <c r="H297" i="2"/>
  <c r="G297" i="2"/>
  <c r="F297" i="2"/>
  <c r="E297" i="2"/>
  <c r="B297" i="55"/>
  <c r="A297" i="55"/>
  <c r="N297" i="55" s="1"/>
  <c r="R296" i="2"/>
  <c r="Q296" i="2"/>
  <c r="P296" i="2"/>
  <c r="O296" i="2"/>
  <c r="M296" i="2"/>
  <c r="L296" i="2"/>
  <c r="K296" i="2"/>
  <c r="J296" i="2"/>
  <c r="I296" i="2"/>
  <c r="H296" i="2"/>
  <c r="G296" i="2"/>
  <c r="F296" i="2"/>
  <c r="E296" i="2"/>
  <c r="B296" i="55"/>
  <c r="A296" i="55"/>
  <c r="N296" i="55" s="1"/>
  <c r="R295" i="2"/>
  <c r="Q295" i="2"/>
  <c r="P295" i="2"/>
  <c r="O295" i="2"/>
  <c r="M295" i="2"/>
  <c r="L295" i="2"/>
  <c r="K295" i="2"/>
  <c r="J295" i="2"/>
  <c r="I295" i="2"/>
  <c r="H295" i="2"/>
  <c r="G295" i="2"/>
  <c r="F295" i="2"/>
  <c r="E295" i="2"/>
  <c r="B295" i="55"/>
  <c r="A295" i="55"/>
  <c r="N295" i="55" s="1"/>
  <c r="R294" i="2"/>
  <c r="Q294" i="2"/>
  <c r="P294" i="2"/>
  <c r="O294" i="2"/>
  <c r="M294" i="2"/>
  <c r="L294" i="2"/>
  <c r="K294" i="2"/>
  <c r="J294" i="2"/>
  <c r="I294" i="2"/>
  <c r="H294" i="2"/>
  <c r="G294" i="2"/>
  <c r="F294" i="2"/>
  <c r="E294" i="2"/>
  <c r="B294" i="55"/>
  <c r="A294" i="55"/>
  <c r="N294" i="55" s="1"/>
  <c r="R293" i="2"/>
  <c r="Q293" i="2"/>
  <c r="P293" i="2"/>
  <c r="O293" i="2"/>
  <c r="M293" i="2"/>
  <c r="L293" i="2"/>
  <c r="K293" i="2"/>
  <c r="J293" i="2"/>
  <c r="I293" i="2"/>
  <c r="H293" i="2"/>
  <c r="G293" i="2"/>
  <c r="F293" i="2"/>
  <c r="E293" i="2"/>
  <c r="B293" i="55"/>
  <c r="A293" i="55"/>
  <c r="N293" i="55" s="1"/>
  <c r="R292" i="2"/>
  <c r="Q292" i="2"/>
  <c r="P292" i="2"/>
  <c r="O292" i="2"/>
  <c r="M292" i="2"/>
  <c r="L292" i="2"/>
  <c r="K292" i="2"/>
  <c r="J292" i="2"/>
  <c r="I292" i="2"/>
  <c r="H292" i="2"/>
  <c r="G292" i="2"/>
  <c r="F292" i="2"/>
  <c r="E292" i="2"/>
  <c r="B292" i="55"/>
  <c r="A292" i="55"/>
  <c r="N292" i="55" s="1"/>
  <c r="R291" i="2"/>
  <c r="Q291" i="2"/>
  <c r="P291" i="2"/>
  <c r="O291" i="2"/>
  <c r="M291" i="2"/>
  <c r="L291" i="2"/>
  <c r="K291" i="2"/>
  <c r="J291" i="2"/>
  <c r="I291" i="2"/>
  <c r="H291" i="2"/>
  <c r="G291" i="2"/>
  <c r="F291" i="2"/>
  <c r="E291" i="2"/>
  <c r="B291" i="55"/>
  <c r="A291" i="55"/>
  <c r="N291" i="55" s="1"/>
  <c r="R290" i="2"/>
  <c r="Q290" i="2"/>
  <c r="P290" i="2"/>
  <c r="O290" i="2"/>
  <c r="M290" i="2"/>
  <c r="L290" i="2"/>
  <c r="K290" i="2"/>
  <c r="J290" i="2"/>
  <c r="I290" i="2"/>
  <c r="H290" i="2"/>
  <c r="G290" i="2"/>
  <c r="F290" i="2"/>
  <c r="E290" i="2"/>
  <c r="B290" i="55"/>
  <c r="A290" i="55"/>
  <c r="N290" i="55" s="1"/>
  <c r="R289" i="2"/>
  <c r="Q289" i="2"/>
  <c r="P289" i="2"/>
  <c r="O289" i="2"/>
  <c r="M289" i="2"/>
  <c r="L289" i="2"/>
  <c r="K289" i="2"/>
  <c r="J289" i="2"/>
  <c r="I289" i="2"/>
  <c r="H289" i="2"/>
  <c r="G289" i="2"/>
  <c r="F289" i="2"/>
  <c r="E289" i="2"/>
  <c r="B289" i="55"/>
  <c r="A289" i="55"/>
  <c r="N289" i="55" s="1"/>
  <c r="R288" i="2"/>
  <c r="Q288" i="2"/>
  <c r="P288" i="2"/>
  <c r="O288" i="2"/>
  <c r="M288" i="2"/>
  <c r="L288" i="2"/>
  <c r="K288" i="2"/>
  <c r="J288" i="2"/>
  <c r="I288" i="2"/>
  <c r="H288" i="2"/>
  <c r="G288" i="2"/>
  <c r="F288" i="2"/>
  <c r="E288" i="2"/>
  <c r="B288" i="55"/>
  <c r="A288" i="55"/>
  <c r="N288" i="55" s="1"/>
  <c r="R287" i="2"/>
  <c r="Q287" i="2"/>
  <c r="P287" i="2"/>
  <c r="O287" i="2"/>
  <c r="M287" i="2"/>
  <c r="L287" i="2"/>
  <c r="K287" i="2"/>
  <c r="J287" i="2"/>
  <c r="I287" i="2"/>
  <c r="H287" i="2"/>
  <c r="G287" i="2"/>
  <c r="F287" i="2"/>
  <c r="E287" i="2"/>
  <c r="B287" i="55"/>
  <c r="A287" i="55"/>
  <c r="N287" i="55" s="1"/>
  <c r="R286" i="2"/>
  <c r="Q286" i="2"/>
  <c r="P286" i="2"/>
  <c r="O286" i="2"/>
  <c r="M286" i="2"/>
  <c r="L286" i="2"/>
  <c r="K286" i="2"/>
  <c r="J286" i="2"/>
  <c r="I286" i="2"/>
  <c r="H286" i="2"/>
  <c r="G286" i="2"/>
  <c r="F286" i="2"/>
  <c r="E286" i="2"/>
  <c r="B286" i="55"/>
  <c r="A286" i="55"/>
  <c r="N286" i="55" s="1"/>
  <c r="R285" i="2"/>
  <c r="Q285" i="2"/>
  <c r="P285" i="2"/>
  <c r="O285" i="2"/>
  <c r="M285" i="2"/>
  <c r="L285" i="2"/>
  <c r="K285" i="2"/>
  <c r="J285" i="2"/>
  <c r="I285" i="2"/>
  <c r="H285" i="2"/>
  <c r="G285" i="2"/>
  <c r="F285" i="2"/>
  <c r="E285" i="2"/>
  <c r="B285" i="55"/>
  <c r="A285" i="55"/>
  <c r="N285" i="55" s="1"/>
  <c r="R284" i="2"/>
  <c r="Q284" i="2"/>
  <c r="P284" i="2"/>
  <c r="O284" i="2"/>
  <c r="M284" i="2"/>
  <c r="L284" i="2"/>
  <c r="K284" i="2"/>
  <c r="J284" i="2"/>
  <c r="I284" i="2"/>
  <c r="H284" i="2"/>
  <c r="G284" i="2"/>
  <c r="F284" i="2"/>
  <c r="E284" i="2"/>
  <c r="B284" i="55"/>
  <c r="A284" i="55"/>
  <c r="N284" i="55" s="1"/>
  <c r="R283" i="2"/>
  <c r="Q283" i="2"/>
  <c r="P283" i="2"/>
  <c r="O283" i="2"/>
  <c r="M283" i="2"/>
  <c r="L283" i="2"/>
  <c r="K283" i="2"/>
  <c r="J283" i="2"/>
  <c r="I283" i="2"/>
  <c r="H283" i="2"/>
  <c r="G283" i="2"/>
  <c r="F283" i="2"/>
  <c r="E283" i="2"/>
  <c r="B283" i="55"/>
  <c r="A283" i="55"/>
  <c r="N283" i="55" s="1"/>
  <c r="R282" i="2"/>
  <c r="Q282" i="2"/>
  <c r="P282" i="2"/>
  <c r="O282" i="2"/>
  <c r="M282" i="2"/>
  <c r="L282" i="2"/>
  <c r="K282" i="2"/>
  <c r="J282" i="2"/>
  <c r="I282" i="2"/>
  <c r="H282" i="2"/>
  <c r="G282" i="2"/>
  <c r="F282" i="2"/>
  <c r="E282" i="2"/>
  <c r="B282" i="55"/>
  <c r="A282" i="55"/>
  <c r="N282" i="55" s="1"/>
  <c r="R281" i="2"/>
  <c r="Q281" i="2"/>
  <c r="P281" i="2"/>
  <c r="O281" i="2"/>
  <c r="M281" i="2"/>
  <c r="L281" i="2"/>
  <c r="K281" i="2"/>
  <c r="J281" i="2"/>
  <c r="I281" i="2"/>
  <c r="H281" i="2"/>
  <c r="G281" i="2"/>
  <c r="F281" i="2"/>
  <c r="E281" i="2"/>
  <c r="B281" i="55"/>
  <c r="A281" i="55"/>
  <c r="N281" i="55" s="1"/>
  <c r="R280" i="2"/>
  <c r="Q280" i="2"/>
  <c r="P280" i="2"/>
  <c r="O280" i="2"/>
  <c r="M280" i="2"/>
  <c r="L280" i="2"/>
  <c r="K280" i="2"/>
  <c r="J280" i="2"/>
  <c r="I280" i="2"/>
  <c r="H280" i="2"/>
  <c r="G280" i="2"/>
  <c r="F280" i="2"/>
  <c r="E280" i="2"/>
  <c r="B280" i="55"/>
  <c r="A280" i="55"/>
  <c r="N280" i="55" s="1"/>
  <c r="R279" i="2"/>
  <c r="Q279" i="2"/>
  <c r="P279" i="2"/>
  <c r="O279" i="2"/>
  <c r="M279" i="2"/>
  <c r="L279" i="2"/>
  <c r="K279" i="2"/>
  <c r="J279" i="2"/>
  <c r="I279" i="2"/>
  <c r="H279" i="2"/>
  <c r="G279" i="2"/>
  <c r="F279" i="2"/>
  <c r="E279" i="2"/>
  <c r="B279" i="55"/>
  <c r="A279" i="55"/>
  <c r="N279" i="55" s="1"/>
  <c r="R278" i="2"/>
  <c r="Q278" i="2"/>
  <c r="P278" i="2"/>
  <c r="O278" i="2"/>
  <c r="M278" i="2"/>
  <c r="L278" i="2"/>
  <c r="K278" i="2"/>
  <c r="J278" i="2"/>
  <c r="I278" i="2"/>
  <c r="H278" i="2"/>
  <c r="G278" i="2"/>
  <c r="F278" i="2"/>
  <c r="E278" i="2"/>
  <c r="B278" i="55"/>
  <c r="A278" i="55"/>
  <c r="N278" i="55" s="1"/>
  <c r="R277" i="2"/>
  <c r="Q277" i="2"/>
  <c r="P277" i="2"/>
  <c r="O277" i="2"/>
  <c r="M277" i="2"/>
  <c r="L277" i="2"/>
  <c r="K277" i="2"/>
  <c r="J277" i="2"/>
  <c r="I277" i="2"/>
  <c r="H277" i="2"/>
  <c r="G277" i="2"/>
  <c r="F277" i="2"/>
  <c r="E277" i="2"/>
  <c r="B277" i="55"/>
  <c r="A277" i="55"/>
  <c r="N277" i="55" s="1"/>
  <c r="R276" i="2"/>
  <c r="Q276" i="2"/>
  <c r="P276" i="2"/>
  <c r="O276" i="2"/>
  <c r="M276" i="2"/>
  <c r="L276" i="2"/>
  <c r="K276" i="2"/>
  <c r="J276" i="2"/>
  <c r="I276" i="2"/>
  <c r="H276" i="2"/>
  <c r="G276" i="2"/>
  <c r="F276" i="2"/>
  <c r="E276" i="2"/>
  <c r="B276" i="55"/>
  <c r="A276" i="55"/>
  <c r="N276" i="55" s="1"/>
  <c r="R275" i="2"/>
  <c r="Q275" i="2"/>
  <c r="P275" i="2"/>
  <c r="O275" i="2"/>
  <c r="M275" i="2"/>
  <c r="L275" i="2"/>
  <c r="K275" i="2"/>
  <c r="J275" i="2"/>
  <c r="I275" i="2"/>
  <c r="H275" i="2"/>
  <c r="G275" i="2"/>
  <c r="F275" i="2"/>
  <c r="E275" i="2"/>
  <c r="B275" i="55"/>
  <c r="A275" i="55"/>
  <c r="N275" i="55" s="1"/>
  <c r="R274" i="2"/>
  <c r="Q274" i="2"/>
  <c r="P274" i="2"/>
  <c r="O274" i="2"/>
  <c r="M274" i="2"/>
  <c r="L274" i="2"/>
  <c r="K274" i="2"/>
  <c r="J274" i="2"/>
  <c r="I274" i="2"/>
  <c r="H274" i="2"/>
  <c r="G274" i="2"/>
  <c r="F274" i="2"/>
  <c r="E274" i="2"/>
  <c r="B274" i="55"/>
  <c r="A274" i="55"/>
  <c r="N274" i="55" s="1"/>
  <c r="R273" i="2"/>
  <c r="Q273" i="2"/>
  <c r="P273" i="2"/>
  <c r="O273" i="2"/>
  <c r="M273" i="2"/>
  <c r="L273" i="2"/>
  <c r="K273" i="2"/>
  <c r="J273" i="2"/>
  <c r="I273" i="2"/>
  <c r="H273" i="2"/>
  <c r="G273" i="2"/>
  <c r="F273" i="2"/>
  <c r="E273" i="2"/>
  <c r="B273" i="55"/>
  <c r="A273" i="55"/>
  <c r="N273" i="55" s="1"/>
  <c r="R272" i="2"/>
  <c r="Q272" i="2"/>
  <c r="P272" i="2"/>
  <c r="O272" i="2"/>
  <c r="M272" i="2"/>
  <c r="L272" i="2"/>
  <c r="K272" i="2"/>
  <c r="J272" i="2"/>
  <c r="I272" i="2"/>
  <c r="H272" i="2"/>
  <c r="G272" i="2"/>
  <c r="F272" i="2"/>
  <c r="E272" i="2"/>
  <c r="B272" i="55"/>
  <c r="A272" i="55"/>
  <c r="N272" i="55" s="1"/>
  <c r="R271" i="2"/>
  <c r="Q271" i="2"/>
  <c r="P271" i="2"/>
  <c r="O271" i="2"/>
  <c r="M271" i="2"/>
  <c r="L271" i="2"/>
  <c r="K271" i="2"/>
  <c r="J271" i="2"/>
  <c r="I271" i="2"/>
  <c r="H271" i="2"/>
  <c r="G271" i="2"/>
  <c r="F271" i="2"/>
  <c r="E271" i="2"/>
  <c r="B271" i="55"/>
  <c r="A271" i="55"/>
  <c r="N271" i="55" s="1"/>
  <c r="R270" i="2"/>
  <c r="Q270" i="2"/>
  <c r="P270" i="2"/>
  <c r="O270" i="2"/>
  <c r="M270" i="2"/>
  <c r="L270" i="2"/>
  <c r="K270" i="2"/>
  <c r="J270" i="2"/>
  <c r="I270" i="2"/>
  <c r="H270" i="2"/>
  <c r="G270" i="2"/>
  <c r="F270" i="2"/>
  <c r="E270" i="2"/>
  <c r="B270" i="55"/>
  <c r="A270" i="55"/>
  <c r="N270" i="55" s="1"/>
  <c r="R269" i="2"/>
  <c r="Q269" i="2"/>
  <c r="P269" i="2"/>
  <c r="O269" i="2"/>
  <c r="M269" i="2"/>
  <c r="L269" i="2"/>
  <c r="K269" i="2"/>
  <c r="J269" i="2"/>
  <c r="I269" i="2"/>
  <c r="H269" i="2"/>
  <c r="G269" i="2"/>
  <c r="F269" i="2"/>
  <c r="E269" i="2"/>
  <c r="B269" i="55"/>
  <c r="A269" i="55"/>
  <c r="N269" i="55" s="1"/>
  <c r="R268" i="2"/>
  <c r="Q268" i="2"/>
  <c r="P268" i="2"/>
  <c r="O268" i="2"/>
  <c r="M268" i="2"/>
  <c r="L268" i="2"/>
  <c r="K268" i="2"/>
  <c r="J268" i="2"/>
  <c r="I268" i="2"/>
  <c r="H268" i="2"/>
  <c r="G268" i="2"/>
  <c r="F268" i="2"/>
  <c r="E268" i="2"/>
  <c r="B268" i="55"/>
  <c r="A268" i="55"/>
  <c r="N268" i="55" s="1"/>
  <c r="R267" i="2"/>
  <c r="Q267" i="2"/>
  <c r="P267" i="2"/>
  <c r="O267" i="2"/>
  <c r="M267" i="2"/>
  <c r="L267" i="2"/>
  <c r="K267" i="2"/>
  <c r="J267" i="2"/>
  <c r="I267" i="2"/>
  <c r="H267" i="2"/>
  <c r="G267" i="2"/>
  <c r="F267" i="2"/>
  <c r="E267" i="2"/>
  <c r="B267" i="55"/>
  <c r="A267" i="55"/>
  <c r="N267" i="55" s="1"/>
  <c r="R266" i="2"/>
  <c r="Q266" i="2"/>
  <c r="P266" i="2"/>
  <c r="O266" i="2"/>
  <c r="M266" i="2"/>
  <c r="L266" i="2"/>
  <c r="K266" i="2"/>
  <c r="J266" i="2"/>
  <c r="I266" i="2"/>
  <c r="H266" i="2"/>
  <c r="G266" i="2"/>
  <c r="F266" i="2"/>
  <c r="E266" i="2"/>
  <c r="B266" i="55"/>
  <c r="A266" i="55"/>
  <c r="N266" i="55" s="1"/>
  <c r="R265" i="2"/>
  <c r="Q265" i="2"/>
  <c r="P265" i="2"/>
  <c r="O265" i="2"/>
  <c r="M265" i="2"/>
  <c r="L265" i="2"/>
  <c r="K265" i="2"/>
  <c r="J265" i="2"/>
  <c r="I265" i="2"/>
  <c r="H265" i="2"/>
  <c r="G265" i="2"/>
  <c r="F265" i="2"/>
  <c r="E265" i="2"/>
  <c r="B265" i="55"/>
  <c r="A265" i="55"/>
  <c r="N265" i="55" s="1"/>
  <c r="R264" i="2"/>
  <c r="Q264" i="2"/>
  <c r="P264" i="2"/>
  <c r="O264" i="2"/>
  <c r="M264" i="2"/>
  <c r="L264" i="2"/>
  <c r="K264" i="2"/>
  <c r="J264" i="2"/>
  <c r="I264" i="2"/>
  <c r="H264" i="2"/>
  <c r="G264" i="2"/>
  <c r="F264" i="2"/>
  <c r="E264" i="2"/>
  <c r="B264" i="55"/>
  <c r="A264" i="55"/>
  <c r="N264" i="55" s="1"/>
  <c r="R263" i="2"/>
  <c r="Q263" i="2"/>
  <c r="P263" i="2"/>
  <c r="O263" i="2"/>
  <c r="M263" i="2"/>
  <c r="L263" i="2"/>
  <c r="K263" i="2"/>
  <c r="J263" i="2"/>
  <c r="I263" i="2"/>
  <c r="H263" i="2"/>
  <c r="G263" i="2"/>
  <c r="F263" i="2"/>
  <c r="E263" i="2"/>
  <c r="B263" i="55"/>
  <c r="A263" i="55"/>
  <c r="N263" i="55" s="1"/>
  <c r="R262" i="2"/>
  <c r="Q262" i="2"/>
  <c r="P262" i="2"/>
  <c r="O262" i="2"/>
  <c r="M262" i="2"/>
  <c r="L262" i="2"/>
  <c r="K262" i="2"/>
  <c r="J262" i="2"/>
  <c r="I262" i="2"/>
  <c r="H262" i="2"/>
  <c r="G262" i="2"/>
  <c r="F262" i="2"/>
  <c r="E262" i="2"/>
  <c r="B262" i="55"/>
  <c r="A262" i="55"/>
  <c r="N262" i="55" s="1"/>
  <c r="R261" i="2"/>
  <c r="Q261" i="2"/>
  <c r="P261" i="2"/>
  <c r="O261" i="2"/>
  <c r="M261" i="2"/>
  <c r="L261" i="2"/>
  <c r="K261" i="2"/>
  <c r="J261" i="2"/>
  <c r="I261" i="2"/>
  <c r="H261" i="2"/>
  <c r="G261" i="2"/>
  <c r="F261" i="2"/>
  <c r="E261" i="2"/>
  <c r="B261" i="55"/>
  <c r="A261" i="55"/>
  <c r="N261" i="55" s="1"/>
  <c r="R260" i="2"/>
  <c r="Q260" i="2"/>
  <c r="P260" i="2"/>
  <c r="O260" i="2"/>
  <c r="M260" i="2"/>
  <c r="L260" i="2"/>
  <c r="K260" i="2"/>
  <c r="J260" i="2"/>
  <c r="I260" i="2"/>
  <c r="H260" i="2"/>
  <c r="G260" i="2"/>
  <c r="F260" i="2"/>
  <c r="E260" i="2"/>
  <c r="B260" i="55"/>
  <c r="A260" i="55"/>
  <c r="N260" i="55" s="1"/>
  <c r="R259" i="2"/>
  <c r="Q259" i="2"/>
  <c r="P259" i="2"/>
  <c r="O259" i="2"/>
  <c r="M259" i="2"/>
  <c r="L259" i="2"/>
  <c r="K259" i="2"/>
  <c r="J259" i="2"/>
  <c r="I259" i="2"/>
  <c r="H259" i="2"/>
  <c r="G259" i="2"/>
  <c r="F259" i="2"/>
  <c r="E259" i="2"/>
  <c r="B259" i="55"/>
  <c r="A259" i="55"/>
  <c r="N259" i="55" s="1"/>
  <c r="R258" i="2"/>
  <c r="Q258" i="2"/>
  <c r="P258" i="2"/>
  <c r="O258" i="2"/>
  <c r="M258" i="2"/>
  <c r="L258" i="2"/>
  <c r="K258" i="2"/>
  <c r="J258" i="2"/>
  <c r="I258" i="2"/>
  <c r="H258" i="2"/>
  <c r="G258" i="2"/>
  <c r="F258" i="2"/>
  <c r="E258" i="2"/>
  <c r="B258" i="55"/>
  <c r="A258" i="55"/>
  <c r="N258" i="55" s="1"/>
  <c r="R257" i="2"/>
  <c r="Q257" i="2"/>
  <c r="P257" i="2"/>
  <c r="O257" i="2"/>
  <c r="M257" i="2"/>
  <c r="L257" i="2"/>
  <c r="K257" i="2"/>
  <c r="J257" i="2"/>
  <c r="I257" i="2"/>
  <c r="H257" i="2"/>
  <c r="G257" i="2"/>
  <c r="F257" i="2"/>
  <c r="E257" i="2"/>
  <c r="B257" i="55"/>
  <c r="A257" i="55"/>
  <c r="N257" i="55" s="1"/>
  <c r="R256" i="2"/>
  <c r="Q256" i="2"/>
  <c r="P256" i="2"/>
  <c r="O256" i="2"/>
  <c r="M256" i="2"/>
  <c r="L256" i="2"/>
  <c r="K256" i="2"/>
  <c r="J256" i="2"/>
  <c r="I256" i="2"/>
  <c r="H256" i="2"/>
  <c r="G256" i="2"/>
  <c r="F256" i="2"/>
  <c r="E256" i="2"/>
  <c r="B256" i="55"/>
  <c r="A256" i="55"/>
  <c r="N256" i="55" s="1"/>
  <c r="R255" i="2"/>
  <c r="Q255" i="2"/>
  <c r="P255" i="2"/>
  <c r="O255" i="2"/>
  <c r="M255" i="2"/>
  <c r="L255" i="2"/>
  <c r="K255" i="2"/>
  <c r="J255" i="2"/>
  <c r="I255" i="2"/>
  <c r="H255" i="2"/>
  <c r="G255" i="2"/>
  <c r="F255" i="2"/>
  <c r="E255" i="2"/>
  <c r="B255" i="55"/>
  <c r="A255" i="55"/>
  <c r="N255" i="55" s="1"/>
  <c r="R254" i="2"/>
  <c r="Q254" i="2"/>
  <c r="P254" i="2"/>
  <c r="O254" i="2"/>
  <c r="M254" i="2"/>
  <c r="L254" i="2"/>
  <c r="K254" i="2"/>
  <c r="J254" i="2"/>
  <c r="I254" i="2"/>
  <c r="H254" i="2"/>
  <c r="G254" i="2"/>
  <c r="F254" i="2"/>
  <c r="E254" i="2"/>
  <c r="B254" i="55"/>
  <c r="A254" i="55"/>
  <c r="N254" i="55" s="1"/>
  <c r="R253" i="2"/>
  <c r="Q253" i="2"/>
  <c r="P253" i="2"/>
  <c r="O253" i="2"/>
  <c r="M253" i="2"/>
  <c r="L253" i="2"/>
  <c r="K253" i="2"/>
  <c r="J253" i="2"/>
  <c r="I253" i="2"/>
  <c r="H253" i="2"/>
  <c r="G253" i="2"/>
  <c r="F253" i="2"/>
  <c r="E253" i="2"/>
  <c r="B253" i="55"/>
  <c r="N253" i="55"/>
  <c r="R252" i="2"/>
  <c r="Q252" i="2"/>
  <c r="P252" i="2"/>
  <c r="O252" i="2"/>
  <c r="M252" i="2"/>
  <c r="L252" i="2"/>
  <c r="K252" i="2"/>
  <c r="J252" i="2"/>
  <c r="I252" i="2"/>
  <c r="H252" i="2"/>
  <c r="G252" i="2"/>
  <c r="F252" i="2"/>
  <c r="E252" i="2"/>
  <c r="B252" i="55"/>
  <c r="A252" i="55"/>
  <c r="N252" i="55" s="1"/>
  <c r="R251" i="2"/>
  <c r="Q251" i="2"/>
  <c r="P251" i="2"/>
  <c r="O251" i="2"/>
  <c r="M251" i="2"/>
  <c r="L251" i="2"/>
  <c r="K251" i="2"/>
  <c r="J251" i="2"/>
  <c r="I251" i="2"/>
  <c r="H251" i="2"/>
  <c r="G251" i="2"/>
  <c r="F251" i="2"/>
  <c r="E251" i="2"/>
  <c r="B251" i="55"/>
  <c r="A251" i="55"/>
  <c r="N251" i="55" s="1"/>
  <c r="R250" i="2"/>
  <c r="Q250" i="2"/>
  <c r="P250" i="2"/>
  <c r="O250" i="2"/>
  <c r="M250" i="2"/>
  <c r="L250" i="2"/>
  <c r="K250" i="2"/>
  <c r="J250" i="2"/>
  <c r="I250" i="2"/>
  <c r="H250" i="2"/>
  <c r="G250" i="2"/>
  <c r="F250" i="2"/>
  <c r="E250" i="2"/>
  <c r="B250" i="55"/>
  <c r="A250" i="55"/>
  <c r="N250" i="55" s="1"/>
  <c r="R249" i="2"/>
  <c r="Q249" i="2"/>
  <c r="P249" i="2"/>
  <c r="O249" i="2"/>
  <c r="M249" i="2"/>
  <c r="L249" i="2"/>
  <c r="K249" i="2"/>
  <c r="J249" i="2"/>
  <c r="I249" i="2"/>
  <c r="H249" i="2"/>
  <c r="G249" i="2"/>
  <c r="F249" i="2"/>
  <c r="E249" i="2"/>
  <c r="B249" i="55"/>
  <c r="A249" i="55"/>
  <c r="N249" i="55" s="1"/>
  <c r="R248" i="2"/>
  <c r="Q248" i="2"/>
  <c r="P248" i="2"/>
  <c r="O248" i="2"/>
  <c r="M248" i="2"/>
  <c r="L248" i="2"/>
  <c r="K248" i="2"/>
  <c r="J248" i="2"/>
  <c r="I248" i="2"/>
  <c r="H248" i="2"/>
  <c r="G248" i="2"/>
  <c r="F248" i="2"/>
  <c r="E248" i="2"/>
  <c r="B248" i="55"/>
  <c r="A248" i="55"/>
  <c r="N248" i="55" s="1"/>
  <c r="R247" i="2"/>
  <c r="Q247" i="2"/>
  <c r="P247" i="2"/>
  <c r="O247" i="2"/>
  <c r="M247" i="2"/>
  <c r="L247" i="2"/>
  <c r="K247" i="2"/>
  <c r="J247" i="2"/>
  <c r="I247" i="2"/>
  <c r="H247" i="2"/>
  <c r="G247" i="2"/>
  <c r="F247" i="2"/>
  <c r="E247" i="2"/>
  <c r="B247" i="55"/>
  <c r="A247" i="55"/>
  <c r="N247" i="55" s="1"/>
  <c r="R246" i="2"/>
  <c r="Q246" i="2"/>
  <c r="P246" i="2"/>
  <c r="O246" i="2"/>
  <c r="M246" i="2"/>
  <c r="L246" i="2"/>
  <c r="K246" i="2"/>
  <c r="J246" i="2"/>
  <c r="I246" i="2"/>
  <c r="H246" i="2"/>
  <c r="G246" i="2"/>
  <c r="F246" i="2"/>
  <c r="E246" i="2"/>
  <c r="B246" i="55"/>
  <c r="A246" i="55"/>
  <c r="N246" i="55" s="1"/>
  <c r="R245" i="2"/>
  <c r="Q245" i="2"/>
  <c r="P245" i="2"/>
  <c r="O245" i="2"/>
  <c r="M245" i="2"/>
  <c r="L245" i="2"/>
  <c r="K245" i="2"/>
  <c r="J245" i="2"/>
  <c r="I245" i="2"/>
  <c r="H245" i="2"/>
  <c r="G245" i="2"/>
  <c r="F245" i="2"/>
  <c r="E245" i="2"/>
  <c r="B245" i="55"/>
  <c r="A245" i="55"/>
  <c r="N245" i="55" s="1"/>
  <c r="R244" i="2"/>
  <c r="Q244" i="2"/>
  <c r="P244" i="2"/>
  <c r="O244" i="2"/>
  <c r="M244" i="2"/>
  <c r="L244" i="2"/>
  <c r="K244" i="2"/>
  <c r="J244" i="2"/>
  <c r="I244" i="2"/>
  <c r="H244" i="2"/>
  <c r="G244" i="2"/>
  <c r="F244" i="2"/>
  <c r="E244" i="2"/>
  <c r="B244" i="55"/>
  <c r="A244" i="55"/>
  <c r="N244" i="55" s="1"/>
  <c r="R243" i="2"/>
  <c r="Q243" i="2"/>
  <c r="P243" i="2"/>
  <c r="O243" i="2"/>
  <c r="M243" i="2"/>
  <c r="L243" i="2"/>
  <c r="K243" i="2"/>
  <c r="J243" i="2"/>
  <c r="I243" i="2"/>
  <c r="H243" i="2"/>
  <c r="G243" i="2"/>
  <c r="F243" i="2"/>
  <c r="E243" i="2"/>
  <c r="B243" i="55"/>
  <c r="A243" i="55"/>
  <c r="N243" i="55" s="1"/>
  <c r="R242" i="2"/>
  <c r="Q242" i="2"/>
  <c r="P242" i="2"/>
  <c r="O242" i="2"/>
  <c r="M242" i="2"/>
  <c r="L242" i="2"/>
  <c r="K242" i="2"/>
  <c r="J242" i="2"/>
  <c r="I242" i="2"/>
  <c r="H242" i="2"/>
  <c r="G242" i="2"/>
  <c r="F242" i="2"/>
  <c r="E242" i="2"/>
  <c r="B242" i="55"/>
  <c r="A242" i="55"/>
  <c r="N242" i="55" s="1"/>
  <c r="R241" i="2"/>
  <c r="Q241" i="2"/>
  <c r="P241" i="2"/>
  <c r="O241" i="2"/>
  <c r="M241" i="2"/>
  <c r="L241" i="2"/>
  <c r="K241" i="2"/>
  <c r="J241" i="2"/>
  <c r="I241" i="2"/>
  <c r="H241" i="2"/>
  <c r="G241" i="2"/>
  <c r="F241" i="2"/>
  <c r="E241" i="2"/>
  <c r="B241" i="55"/>
  <c r="A241" i="55"/>
  <c r="N241" i="55" s="1"/>
  <c r="R240" i="2"/>
  <c r="Q240" i="2"/>
  <c r="P240" i="2"/>
  <c r="O240" i="2"/>
  <c r="M240" i="2"/>
  <c r="L240" i="2"/>
  <c r="K240" i="2"/>
  <c r="J240" i="2"/>
  <c r="I240" i="2"/>
  <c r="H240" i="2"/>
  <c r="G240" i="2"/>
  <c r="F240" i="2"/>
  <c r="E240" i="2"/>
  <c r="B240" i="55"/>
  <c r="A240" i="55"/>
  <c r="N240" i="55" s="1"/>
  <c r="R239" i="2"/>
  <c r="Q239" i="2"/>
  <c r="P239" i="2"/>
  <c r="O239" i="2"/>
  <c r="M239" i="2"/>
  <c r="L239" i="2"/>
  <c r="K239" i="2"/>
  <c r="J239" i="2"/>
  <c r="I239" i="2"/>
  <c r="H239" i="2"/>
  <c r="G239" i="2"/>
  <c r="F239" i="2"/>
  <c r="E239" i="2"/>
  <c r="B239" i="55"/>
  <c r="A239" i="55"/>
  <c r="N239" i="55" s="1"/>
  <c r="R238" i="2"/>
  <c r="Q238" i="2"/>
  <c r="P238" i="2"/>
  <c r="O238" i="2"/>
  <c r="M238" i="2"/>
  <c r="L238" i="2"/>
  <c r="K238" i="2"/>
  <c r="J238" i="2"/>
  <c r="I238" i="2"/>
  <c r="H238" i="2"/>
  <c r="G238" i="2"/>
  <c r="F238" i="2"/>
  <c r="E238" i="2"/>
  <c r="B238" i="55"/>
  <c r="A238" i="55"/>
  <c r="N238" i="55" s="1"/>
  <c r="R237" i="2"/>
  <c r="Q237" i="2"/>
  <c r="P237" i="2"/>
  <c r="O237" i="2"/>
  <c r="M237" i="2"/>
  <c r="L237" i="2"/>
  <c r="K237" i="2"/>
  <c r="J237" i="2"/>
  <c r="I237" i="2"/>
  <c r="H237" i="2"/>
  <c r="G237" i="2"/>
  <c r="F237" i="2"/>
  <c r="E237" i="2"/>
  <c r="B237" i="55"/>
  <c r="A237" i="55"/>
  <c r="N237" i="55" s="1"/>
  <c r="R236" i="2"/>
  <c r="Q236" i="2"/>
  <c r="P236" i="2"/>
  <c r="O236" i="2"/>
  <c r="M236" i="2"/>
  <c r="L236" i="2"/>
  <c r="K236" i="2"/>
  <c r="J236" i="2"/>
  <c r="I236" i="2"/>
  <c r="H236" i="2"/>
  <c r="G236" i="2"/>
  <c r="F236" i="2"/>
  <c r="E236" i="2"/>
  <c r="B236" i="55"/>
  <c r="A236" i="55"/>
  <c r="N236" i="55" s="1"/>
  <c r="R235" i="2"/>
  <c r="Q235" i="2"/>
  <c r="P235" i="2"/>
  <c r="O235" i="2"/>
  <c r="M235" i="2"/>
  <c r="L235" i="2"/>
  <c r="K235" i="2"/>
  <c r="J235" i="2"/>
  <c r="I235" i="2"/>
  <c r="H235" i="2"/>
  <c r="G235" i="2"/>
  <c r="F235" i="2"/>
  <c r="E235" i="2"/>
  <c r="B235" i="55"/>
  <c r="A235" i="55"/>
  <c r="N235" i="55" s="1"/>
  <c r="R234" i="2"/>
  <c r="Q234" i="2"/>
  <c r="P234" i="2"/>
  <c r="O234" i="2"/>
  <c r="M234" i="2"/>
  <c r="L234" i="2"/>
  <c r="K234" i="2"/>
  <c r="J234" i="2"/>
  <c r="I234" i="2"/>
  <c r="H234" i="2"/>
  <c r="G234" i="2"/>
  <c r="F234" i="2"/>
  <c r="E234" i="2"/>
  <c r="B234" i="55"/>
  <c r="A234" i="55"/>
  <c r="N234" i="55" s="1"/>
  <c r="R233" i="2"/>
  <c r="Q233" i="2"/>
  <c r="P233" i="2"/>
  <c r="O233" i="2"/>
  <c r="M233" i="2"/>
  <c r="L233" i="2"/>
  <c r="K233" i="2"/>
  <c r="J233" i="2"/>
  <c r="I233" i="2"/>
  <c r="H233" i="2"/>
  <c r="G233" i="2"/>
  <c r="F233" i="2"/>
  <c r="E233" i="2"/>
  <c r="B233" i="55"/>
  <c r="A233" i="55"/>
  <c r="N233" i="55" s="1"/>
  <c r="R232" i="2"/>
  <c r="Q232" i="2"/>
  <c r="P232" i="2"/>
  <c r="O232" i="2"/>
  <c r="M232" i="2"/>
  <c r="L232" i="2"/>
  <c r="K232" i="2"/>
  <c r="J232" i="2"/>
  <c r="I232" i="2"/>
  <c r="H232" i="2"/>
  <c r="G232" i="2"/>
  <c r="F232" i="2"/>
  <c r="E232" i="2"/>
  <c r="B232" i="55"/>
  <c r="A232" i="55"/>
  <c r="N232" i="55" s="1"/>
  <c r="R231" i="2"/>
  <c r="Q231" i="2"/>
  <c r="P231" i="2"/>
  <c r="O231" i="2"/>
  <c r="M231" i="2"/>
  <c r="L231" i="2"/>
  <c r="K231" i="2"/>
  <c r="J231" i="2"/>
  <c r="I231" i="2"/>
  <c r="H231" i="2"/>
  <c r="G231" i="2"/>
  <c r="F231" i="2"/>
  <c r="E231" i="2"/>
  <c r="B231" i="55"/>
  <c r="A231" i="55"/>
  <c r="N231" i="55" s="1"/>
  <c r="R230" i="2"/>
  <c r="Q230" i="2"/>
  <c r="P230" i="2"/>
  <c r="O230" i="2"/>
  <c r="M230" i="2"/>
  <c r="L230" i="2"/>
  <c r="K230" i="2"/>
  <c r="J230" i="2"/>
  <c r="I230" i="2"/>
  <c r="H230" i="2"/>
  <c r="G230" i="2"/>
  <c r="F230" i="2"/>
  <c r="E230" i="2"/>
  <c r="B230" i="55"/>
  <c r="A230" i="55"/>
  <c r="N230" i="55" s="1"/>
  <c r="R229" i="2"/>
  <c r="Q229" i="2"/>
  <c r="P229" i="2"/>
  <c r="O229" i="2"/>
  <c r="M229" i="2"/>
  <c r="L229" i="2"/>
  <c r="K229" i="2"/>
  <c r="J229" i="2"/>
  <c r="I229" i="2"/>
  <c r="H229" i="2"/>
  <c r="G229" i="2"/>
  <c r="F229" i="2"/>
  <c r="E229" i="2"/>
  <c r="B229" i="55"/>
  <c r="A229" i="55"/>
  <c r="N229" i="55" s="1"/>
  <c r="R228" i="2"/>
  <c r="Q228" i="2"/>
  <c r="P228" i="2"/>
  <c r="O228" i="2"/>
  <c r="M228" i="2"/>
  <c r="L228" i="2"/>
  <c r="K228" i="2"/>
  <c r="J228" i="2"/>
  <c r="I228" i="2"/>
  <c r="H228" i="2"/>
  <c r="G228" i="2"/>
  <c r="F228" i="2"/>
  <c r="E228" i="2"/>
  <c r="B228" i="55"/>
  <c r="A228" i="55"/>
  <c r="N228" i="55" s="1"/>
  <c r="R227" i="2"/>
  <c r="Q227" i="2"/>
  <c r="P227" i="2"/>
  <c r="O227" i="2"/>
  <c r="M227" i="2"/>
  <c r="L227" i="2"/>
  <c r="K227" i="2"/>
  <c r="J227" i="2"/>
  <c r="I227" i="2"/>
  <c r="H227" i="2"/>
  <c r="G227" i="2"/>
  <c r="F227" i="2"/>
  <c r="E227" i="2"/>
  <c r="B227" i="55"/>
  <c r="A227" i="55"/>
  <c r="N227" i="55" s="1"/>
  <c r="R226" i="2"/>
  <c r="Q226" i="2"/>
  <c r="P226" i="2"/>
  <c r="O226" i="2"/>
  <c r="M226" i="2"/>
  <c r="L226" i="2"/>
  <c r="K226" i="2"/>
  <c r="J226" i="2"/>
  <c r="I226" i="2"/>
  <c r="H226" i="2"/>
  <c r="G226" i="2"/>
  <c r="F226" i="2"/>
  <c r="E226" i="2"/>
  <c r="B226" i="55"/>
  <c r="A226" i="55"/>
  <c r="N226" i="55" s="1"/>
  <c r="R225" i="2"/>
  <c r="Q225" i="2"/>
  <c r="P225" i="2"/>
  <c r="O225" i="2"/>
  <c r="M225" i="2"/>
  <c r="L225" i="2"/>
  <c r="K225" i="2"/>
  <c r="J225" i="2"/>
  <c r="I225" i="2"/>
  <c r="H225" i="2"/>
  <c r="G225" i="2"/>
  <c r="F225" i="2"/>
  <c r="E225" i="2"/>
  <c r="B225" i="55"/>
  <c r="A225" i="55"/>
  <c r="N225" i="55" s="1"/>
  <c r="R224" i="2"/>
  <c r="Q224" i="2"/>
  <c r="P224" i="2"/>
  <c r="O224" i="2"/>
  <c r="M224" i="2"/>
  <c r="L224" i="2"/>
  <c r="K224" i="2"/>
  <c r="J224" i="2"/>
  <c r="I224" i="2"/>
  <c r="H224" i="2"/>
  <c r="G224" i="2"/>
  <c r="F224" i="2"/>
  <c r="E224" i="2"/>
  <c r="B224" i="55"/>
  <c r="A224" i="55"/>
  <c r="N224" i="55" s="1"/>
  <c r="R223" i="2"/>
  <c r="Q223" i="2"/>
  <c r="P223" i="2"/>
  <c r="O223" i="2"/>
  <c r="M223" i="2"/>
  <c r="L223" i="2"/>
  <c r="K223" i="2"/>
  <c r="J223" i="2"/>
  <c r="I223" i="2"/>
  <c r="H223" i="2"/>
  <c r="G223" i="2"/>
  <c r="F223" i="2"/>
  <c r="E223" i="2"/>
  <c r="B223" i="55"/>
  <c r="A223" i="55"/>
  <c r="N223" i="55" s="1"/>
  <c r="R222" i="2"/>
  <c r="Q222" i="2"/>
  <c r="P222" i="2"/>
  <c r="O222" i="2"/>
  <c r="M222" i="2"/>
  <c r="L222" i="2"/>
  <c r="K222" i="2"/>
  <c r="J222" i="2"/>
  <c r="I222" i="2"/>
  <c r="H222" i="2"/>
  <c r="G222" i="2"/>
  <c r="F222" i="2"/>
  <c r="E222" i="2"/>
  <c r="B222" i="55"/>
  <c r="A222" i="55"/>
  <c r="N222" i="55" s="1"/>
  <c r="R221" i="2"/>
  <c r="Q221" i="2"/>
  <c r="P221" i="2"/>
  <c r="O221" i="2"/>
  <c r="M221" i="2"/>
  <c r="L221" i="2"/>
  <c r="K221" i="2"/>
  <c r="J221" i="2"/>
  <c r="I221" i="2"/>
  <c r="H221" i="2"/>
  <c r="G221" i="2"/>
  <c r="F221" i="2"/>
  <c r="E221" i="2"/>
  <c r="B221" i="55"/>
  <c r="A221" i="55"/>
  <c r="N221" i="55" s="1"/>
  <c r="R220" i="2"/>
  <c r="Q220" i="2"/>
  <c r="P220" i="2"/>
  <c r="O220" i="2"/>
  <c r="M220" i="2"/>
  <c r="L220" i="2"/>
  <c r="K220" i="2"/>
  <c r="J220" i="2"/>
  <c r="I220" i="2"/>
  <c r="H220" i="2"/>
  <c r="G220" i="2"/>
  <c r="F220" i="2"/>
  <c r="E220" i="2"/>
  <c r="B220" i="55"/>
  <c r="A220" i="55"/>
  <c r="N220" i="55" s="1"/>
  <c r="R219" i="2"/>
  <c r="Q219" i="2"/>
  <c r="P219" i="2"/>
  <c r="O219" i="2"/>
  <c r="M219" i="2"/>
  <c r="L219" i="2"/>
  <c r="K219" i="2"/>
  <c r="J219" i="2"/>
  <c r="I219" i="2"/>
  <c r="H219" i="2"/>
  <c r="G219" i="2"/>
  <c r="F219" i="2"/>
  <c r="E219" i="2"/>
  <c r="B219" i="55"/>
  <c r="A219" i="55"/>
  <c r="N219" i="55" s="1"/>
  <c r="R218" i="2"/>
  <c r="Q218" i="2"/>
  <c r="P218" i="2"/>
  <c r="O218" i="2"/>
  <c r="M218" i="2"/>
  <c r="L218" i="2"/>
  <c r="K218" i="2"/>
  <c r="J218" i="2"/>
  <c r="I218" i="2"/>
  <c r="H218" i="2"/>
  <c r="G218" i="2"/>
  <c r="F218" i="2"/>
  <c r="E218" i="2"/>
  <c r="B218" i="55"/>
  <c r="A218" i="55"/>
  <c r="N218" i="55" s="1"/>
  <c r="R217" i="2"/>
  <c r="Q217" i="2"/>
  <c r="P217" i="2"/>
  <c r="O217" i="2"/>
  <c r="M217" i="2"/>
  <c r="L217" i="2"/>
  <c r="K217" i="2"/>
  <c r="J217" i="2"/>
  <c r="I217" i="2"/>
  <c r="H217" i="2"/>
  <c r="G217" i="2"/>
  <c r="F217" i="2"/>
  <c r="E217" i="2"/>
  <c r="B217" i="55"/>
  <c r="A217" i="55"/>
  <c r="N217" i="55" s="1"/>
  <c r="R216" i="2"/>
  <c r="Q216" i="2"/>
  <c r="P216" i="2"/>
  <c r="O216" i="2"/>
  <c r="M216" i="2"/>
  <c r="L216" i="2"/>
  <c r="K216" i="2"/>
  <c r="J216" i="2"/>
  <c r="I216" i="2"/>
  <c r="H216" i="2"/>
  <c r="G216" i="2"/>
  <c r="F216" i="2"/>
  <c r="E216" i="2"/>
  <c r="B216" i="55"/>
  <c r="A216" i="55"/>
  <c r="N216" i="55" s="1"/>
  <c r="R215" i="2"/>
  <c r="Q215" i="2"/>
  <c r="P215" i="2"/>
  <c r="O215" i="2"/>
  <c r="M215" i="2"/>
  <c r="L215" i="2"/>
  <c r="K215" i="2"/>
  <c r="J215" i="2"/>
  <c r="I215" i="2"/>
  <c r="H215" i="2"/>
  <c r="G215" i="2"/>
  <c r="F215" i="2"/>
  <c r="E215" i="2"/>
  <c r="B215" i="55"/>
  <c r="A215" i="55"/>
  <c r="N215" i="55" s="1"/>
  <c r="R214" i="2"/>
  <c r="Q214" i="2"/>
  <c r="P214" i="2"/>
  <c r="O214" i="2"/>
  <c r="M214" i="2"/>
  <c r="L214" i="2"/>
  <c r="K214" i="2"/>
  <c r="J214" i="2"/>
  <c r="I214" i="2"/>
  <c r="H214" i="2"/>
  <c r="G214" i="2"/>
  <c r="F214" i="2"/>
  <c r="E214" i="2"/>
  <c r="B214" i="55"/>
  <c r="A214" i="55"/>
  <c r="N214" i="55" s="1"/>
  <c r="R213" i="2"/>
  <c r="Q213" i="2"/>
  <c r="P213" i="2"/>
  <c r="O213" i="2"/>
  <c r="M213" i="2"/>
  <c r="L213" i="2"/>
  <c r="K213" i="2"/>
  <c r="J213" i="2"/>
  <c r="I213" i="2"/>
  <c r="H213" i="2"/>
  <c r="G213" i="2"/>
  <c r="F213" i="2"/>
  <c r="E213" i="2"/>
  <c r="B213" i="55"/>
  <c r="A213" i="55"/>
  <c r="N213" i="55" s="1"/>
  <c r="R212" i="2"/>
  <c r="Q212" i="2"/>
  <c r="P212" i="2"/>
  <c r="O212" i="2"/>
  <c r="M212" i="2"/>
  <c r="L212" i="2"/>
  <c r="K212" i="2"/>
  <c r="J212" i="2"/>
  <c r="I212" i="2"/>
  <c r="H212" i="2"/>
  <c r="G212" i="2"/>
  <c r="F212" i="2"/>
  <c r="E212" i="2"/>
  <c r="B212" i="55"/>
  <c r="A212" i="55"/>
  <c r="N212" i="55" s="1"/>
  <c r="R211" i="2"/>
  <c r="Q211" i="2"/>
  <c r="P211" i="2"/>
  <c r="O211" i="2"/>
  <c r="M211" i="2"/>
  <c r="L211" i="2"/>
  <c r="K211" i="2"/>
  <c r="J211" i="2"/>
  <c r="I211" i="2"/>
  <c r="H211" i="2"/>
  <c r="G211" i="2"/>
  <c r="F211" i="2"/>
  <c r="E211" i="2"/>
  <c r="B211" i="55"/>
  <c r="A211" i="55"/>
  <c r="N211" i="55" s="1"/>
  <c r="R210" i="2"/>
  <c r="Q210" i="2"/>
  <c r="P210" i="2"/>
  <c r="O210" i="2"/>
  <c r="M210" i="2"/>
  <c r="L210" i="2"/>
  <c r="K210" i="2"/>
  <c r="J210" i="2"/>
  <c r="I210" i="2"/>
  <c r="H210" i="2"/>
  <c r="G210" i="2"/>
  <c r="F210" i="2"/>
  <c r="E210" i="2"/>
  <c r="B210" i="55"/>
  <c r="A210" i="55"/>
  <c r="N210" i="55" s="1"/>
  <c r="R209" i="2"/>
  <c r="Q209" i="2"/>
  <c r="P209" i="2"/>
  <c r="O209" i="2"/>
  <c r="M209" i="2"/>
  <c r="L209" i="2"/>
  <c r="K209" i="2"/>
  <c r="J209" i="2"/>
  <c r="I209" i="2"/>
  <c r="H209" i="2"/>
  <c r="G209" i="2"/>
  <c r="F209" i="2"/>
  <c r="E209" i="2"/>
  <c r="B209" i="55"/>
  <c r="A209" i="55"/>
  <c r="N209" i="55" s="1"/>
  <c r="R208" i="2"/>
  <c r="Q208" i="2"/>
  <c r="P208" i="2"/>
  <c r="O208" i="2"/>
  <c r="M208" i="2"/>
  <c r="L208" i="2"/>
  <c r="K208" i="2"/>
  <c r="J208" i="2"/>
  <c r="I208" i="2"/>
  <c r="H208" i="2"/>
  <c r="G208" i="2"/>
  <c r="F208" i="2"/>
  <c r="E208" i="2"/>
  <c r="B208" i="55"/>
  <c r="A208" i="55"/>
  <c r="N208" i="55" s="1"/>
  <c r="R207" i="2"/>
  <c r="Q207" i="2"/>
  <c r="P207" i="2"/>
  <c r="O207" i="2"/>
  <c r="M207" i="2"/>
  <c r="L207" i="2"/>
  <c r="K207" i="2"/>
  <c r="J207" i="2"/>
  <c r="I207" i="2"/>
  <c r="H207" i="2"/>
  <c r="G207" i="2"/>
  <c r="F207" i="2"/>
  <c r="E207" i="2"/>
  <c r="B207" i="55"/>
  <c r="A207" i="55"/>
  <c r="N207" i="55" s="1"/>
  <c r="R206" i="2"/>
  <c r="Q206" i="2"/>
  <c r="P206" i="2"/>
  <c r="O206" i="2"/>
  <c r="M206" i="2"/>
  <c r="L206" i="2"/>
  <c r="K206" i="2"/>
  <c r="J206" i="2"/>
  <c r="I206" i="2"/>
  <c r="H206" i="2"/>
  <c r="G206" i="2"/>
  <c r="F206" i="2"/>
  <c r="E206" i="2"/>
  <c r="B206" i="55"/>
  <c r="A206" i="55"/>
  <c r="N206" i="55" s="1"/>
  <c r="R205" i="2"/>
  <c r="Q205" i="2"/>
  <c r="P205" i="2"/>
  <c r="O205" i="2"/>
  <c r="M205" i="2"/>
  <c r="L205" i="2"/>
  <c r="K205" i="2"/>
  <c r="J205" i="2"/>
  <c r="I205" i="2"/>
  <c r="H205" i="2"/>
  <c r="G205" i="2"/>
  <c r="F205" i="2"/>
  <c r="E205" i="2"/>
  <c r="B205" i="55"/>
  <c r="A205" i="55"/>
  <c r="N205" i="55" s="1"/>
  <c r="R204" i="2"/>
  <c r="Q204" i="2"/>
  <c r="P204" i="2"/>
  <c r="O204" i="2"/>
  <c r="M204" i="2"/>
  <c r="L204" i="2"/>
  <c r="K204" i="2"/>
  <c r="J204" i="2"/>
  <c r="I204" i="2"/>
  <c r="H204" i="2"/>
  <c r="G204" i="2"/>
  <c r="F204" i="2"/>
  <c r="E204" i="2"/>
  <c r="B204" i="55"/>
  <c r="A204" i="55"/>
  <c r="N204" i="55" s="1"/>
  <c r="R203" i="2"/>
  <c r="Q203" i="2"/>
  <c r="P203" i="2"/>
  <c r="O203" i="2"/>
  <c r="M203" i="2"/>
  <c r="L203" i="2"/>
  <c r="K203" i="2"/>
  <c r="J203" i="2"/>
  <c r="I203" i="2"/>
  <c r="H203" i="2"/>
  <c r="G203" i="2"/>
  <c r="F203" i="2"/>
  <c r="E203" i="2"/>
  <c r="B203" i="55"/>
  <c r="A203" i="55"/>
  <c r="N203" i="55" s="1"/>
  <c r="R202" i="2"/>
  <c r="Q202" i="2"/>
  <c r="P202" i="2"/>
  <c r="O202" i="2"/>
  <c r="M202" i="2"/>
  <c r="L202" i="2"/>
  <c r="K202" i="2"/>
  <c r="J202" i="2"/>
  <c r="I202" i="2"/>
  <c r="H202" i="2"/>
  <c r="G202" i="2"/>
  <c r="F202" i="2"/>
  <c r="E202" i="2"/>
  <c r="B202" i="55"/>
  <c r="A202" i="55"/>
  <c r="N202" i="55" s="1"/>
  <c r="R201" i="2"/>
  <c r="Q201" i="2"/>
  <c r="P201" i="2"/>
  <c r="O201" i="2"/>
  <c r="M201" i="2"/>
  <c r="L201" i="2"/>
  <c r="K201" i="2"/>
  <c r="J201" i="2"/>
  <c r="I201" i="2"/>
  <c r="H201" i="2"/>
  <c r="G201" i="2"/>
  <c r="F201" i="2"/>
  <c r="E201" i="2"/>
  <c r="B201" i="55"/>
  <c r="A201" i="55"/>
  <c r="N201" i="55" s="1"/>
  <c r="R200" i="2"/>
  <c r="Q200" i="2"/>
  <c r="P200" i="2"/>
  <c r="O200" i="2"/>
  <c r="M200" i="2"/>
  <c r="L200" i="2"/>
  <c r="K200" i="2"/>
  <c r="J200" i="2"/>
  <c r="I200" i="2"/>
  <c r="H200" i="2"/>
  <c r="G200" i="2"/>
  <c r="F200" i="2"/>
  <c r="E200" i="2"/>
  <c r="B200" i="55"/>
  <c r="A200" i="55"/>
  <c r="N200" i="55" s="1"/>
  <c r="R199" i="2"/>
  <c r="Q199" i="2"/>
  <c r="P199" i="2"/>
  <c r="O199" i="2"/>
  <c r="M199" i="2"/>
  <c r="L199" i="2"/>
  <c r="K199" i="2"/>
  <c r="J199" i="2"/>
  <c r="I199" i="2"/>
  <c r="H199" i="2"/>
  <c r="G199" i="2"/>
  <c r="F199" i="2"/>
  <c r="E199" i="2"/>
  <c r="B199" i="55"/>
  <c r="A199" i="55"/>
  <c r="N199" i="55" s="1"/>
  <c r="R198" i="2"/>
  <c r="Q198" i="2"/>
  <c r="P198" i="2"/>
  <c r="O198" i="2"/>
  <c r="M198" i="2"/>
  <c r="L198" i="2"/>
  <c r="K198" i="2"/>
  <c r="J198" i="2"/>
  <c r="I198" i="2"/>
  <c r="H198" i="2"/>
  <c r="G198" i="2"/>
  <c r="F198" i="2"/>
  <c r="E198" i="2"/>
  <c r="B198" i="55"/>
  <c r="A198" i="55"/>
  <c r="N198" i="55" s="1"/>
  <c r="R197" i="2"/>
  <c r="Q197" i="2"/>
  <c r="P197" i="2"/>
  <c r="O197" i="2"/>
  <c r="M197" i="2"/>
  <c r="L197" i="2"/>
  <c r="K197" i="2"/>
  <c r="J197" i="2"/>
  <c r="I197" i="2"/>
  <c r="H197" i="2"/>
  <c r="G197" i="2"/>
  <c r="F197" i="2"/>
  <c r="E197" i="2"/>
  <c r="B197" i="55"/>
  <c r="A197" i="55"/>
  <c r="N197" i="55" s="1"/>
  <c r="R196" i="2"/>
  <c r="Q196" i="2"/>
  <c r="P196" i="2"/>
  <c r="O196" i="2"/>
  <c r="M196" i="2"/>
  <c r="L196" i="2"/>
  <c r="K196" i="2"/>
  <c r="J196" i="2"/>
  <c r="I196" i="2"/>
  <c r="H196" i="2"/>
  <c r="G196" i="2"/>
  <c r="F196" i="2"/>
  <c r="E196" i="2"/>
  <c r="B196" i="55"/>
  <c r="A196" i="55"/>
  <c r="N196" i="55" s="1"/>
  <c r="R195" i="2"/>
  <c r="Q195" i="2"/>
  <c r="P195" i="2"/>
  <c r="O195" i="2"/>
  <c r="M195" i="2"/>
  <c r="L195" i="2"/>
  <c r="K195" i="2"/>
  <c r="J195" i="2"/>
  <c r="I195" i="2"/>
  <c r="H195" i="2"/>
  <c r="G195" i="2"/>
  <c r="F195" i="2"/>
  <c r="E195" i="2"/>
  <c r="B195" i="55"/>
  <c r="A195" i="55"/>
  <c r="N195" i="55" s="1"/>
  <c r="R194" i="2"/>
  <c r="Q194" i="2"/>
  <c r="P194" i="2"/>
  <c r="O194" i="2"/>
  <c r="M194" i="2"/>
  <c r="L194" i="2"/>
  <c r="K194" i="2"/>
  <c r="J194" i="2"/>
  <c r="I194" i="2"/>
  <c r="H194" i="2"/>
  <c r="G194" i="2"/>
  <c r="F194" i="2"/>
  <c r="E194" i="2"/>
  <c r="B194" i="55"/>
  <c r="A194" i="55"/>
  <c r="N194" i="55" s="1"/>
  <c r="R193" i="2"/>
  <c r="Q193" i="2"/>
  <c r="P193" i="2"/>
  <c r="O193" i="2"/>
  <c r="M193" i="2"/>
  <c r="L193" i="2"/>
  <c r="K193" i="2"/>
  <c r="J193" i="2"/>
  <c r="I193" i="2"/>
  <c r="H193" i="2"/>
  <c r="G193" i="2"/>
  <c r="F193" i="2"/>
  <c r="E193" i="2"/>
  <c r="B193" i="55"/>
  <c r="A193" i="55"/>
  <c r="N193" i="55" s="1"/>
  <c r="R192" i="2"/>
  <c r="Q192" i="2"/>
  <c r="P192" i="2"/>
  <c r="O192" i="2"/>
  <c r="M192" i="2"/>
  <c r="L192" i="2"/>
  <c r="K192" i="2"/>
  <c r="J192" i="2"/>
  <c r="I192" i="2"/>
  <c r="H192" i="2"/>
  <c r="G192" i="2"/>
  <c r="F192" i="2"/>
  <c r="E192" i="2"/>
  <c r="B192" i="55"/>
  <c r="A192" i="55"/>
  <c r="N192" i="55" s="1"/>
  <c r="R191" i="2"/>
  <c r="Q191" i="2"/>
  <c r="P191" i="2"/>
  <c r="O191" i="2"/>
  <c r="M191" i="2"/>
  <c r="L191" i="2"/>
  <c r="K191" i="2"/>
  <c r="J191" i="2"/>
  <c r="I191" i="2"/>
  <c r="H191" i="2"/>
  <c r="G191" i="2"/>
  <c r="F191" i="2"/>
  <c r="E191" i="2"/>
  <c r="B191" i="55"/>
  <c r="A191" i="55"/>
  <c r="N191" i="55" s="1"/>
  <c r="R190" i="2"/>
  <c r="Q190" i="2"/>
  <c r="P190" i="2"/>
  <c r="O190" i="2"/>
  <c r="M190" i="2"/>
  <c r="L190" i="2"/>
  <c r="K190" i="2"/>
  <c r="J190" i="2"/>
  <c r="I190" i="2"/>
  <c r="H190" i="2"/>
  <c r="G190" i="2"/>
  <c r="F190" i="2"/>
  <c r="E190" i="2"/>
  <c r="B190" i="55"/>
  <c r="A190" i="55"/>
  <c r="N190" i="55" s="1"/>
  <c r="R189" i="2"/>
  <c r="Q189" i="2"/>
  <c r="P189" i="2"/>
  <c r="O189" i="2"/>
  <c r="M189" i="2"/>
  <c r="L189" i="2"/>
  <c r="K189" i="2"/>
  <c r="J189" i="2"/>
  <c r="I189" i="2"/>
  <c r="H189" i="2"/>
  <c r="G189" i="2"/>
  <c r="F189" i="2"/>
  <c r="E189" i="2"/>
  <c r="B189" i="55"/>
  <c r="A189" i="55"/>
  <c r="N189" i="55" s="1"/>
  <c r="R188" i="2"/>
  <c r="Q188" i="2"/>
  <c r="P188" i="2"/>
  <c r="O188" i="2"/>
  <c r="M188" i="2"/>
  <c r="L188" i="2"/>
  <c r="K188" i="2"/>
  <c r="J188" i="2"/>
  <c r="I188" i="2"/>
  <c r="H188" i="2"/>
  <c r="G188" i="2"/>
  <c r="F188" i="2"/>
  <c r="E188" i="2"/>
  <c r="B188" i="55"/>
  <c r="A188" i="55"/>
  <c r="N188" i="55" s="1"/>
  <c r="R187" i="2"/>
  <c r="Q187" i="2"/>
  <c r="P187" i="2"/>
  <c r="O187" i="2"/>
  <c r="M187" i="2"/>
  <c r="L187" i="2"/>
  <c r="K187" i="2"/>
  <c r="J187" i="2"/>
  <c r="I187" i="2"/>
  <c r="H187" i="2"/>
  <c r="G187" i="2"/>
  <c r="F187" i="2"/>
  <c r="E187" i="2"/>
  <c r="B187" i="55"/>
  <c r="A187" i="55"/>
  <c r="N187" i="55" s="1"/>
  <c r="R186" i="2"/>
  <c r="Q186" i="2"/>
  <c r="P186" i="2"/>
  <c r="O186" i="2"/>
  <c r="M186" i="2"/>
  <c r="L186" i="2"/>
  <c r="K186" i="2"/>
  <c r="J186" i="2"/>
  <c r="I186" i="2"/>
  <c r="H186" i="2"/>
  <c r="G186" i="2"/>
  <c r="F186" i="2"/>
  <c r="E186" i="2"/>
  <c r="B186" i="55"/>
  <c r="A186" i="55"/>
  <c r="N186" i="55" s="1"/>
  <c r="R185" i="2"/>
  <c r="Q185" i="2"/>
  <c r="P185" i="2"/>
  <c r="O185" i="2"/>
  <c r="M185" i="2"/>
  <c r="L185" i="2"/>
  <c r="K185" i="2"/>
  <c r="J185" i="2"/>
  <c r="I185" i="2"/>
  <c r="H185" i="2"/>
  <c r="G185" i="2"/>
  <c r="F185" i="2"/>
  <c r="E185" i="2"/>
  <c r="B185" i="55"/>
  <c r="A185" i="55"/>
  <c r="N185" i="55" s="1"/>
  <c r="R184" i="2"/>
  <c r="Q184" i="2"/>
  <c r="P184" i="2"/>
  <c r="O184" i="2"/>
  <c r="M184" i="2"/>
  <c r="L184" i="2"/>
  <c r="K184" i="2"/>
  <c r="J184" i="2"/>
  <c r="I184" i="2"/>
  <c r="H184" i="2"/>
  <c r="G184" i="2"/>
  <c r="F184" i="2"/>
  <c r="E184" i="2"/>
  <c r="B184" i="55"/>
  <c r="A184" i="55"/>
  <c r="N184" i="55" s="1"/>
  <c r="R183" i="2"/>
  <c r="Q183" i="2"/>
  <c r="P183" i="2"/>
  <c r="O183" i="2"/>
  <c r="M183" i="2"/>
  <c r="L183" i="2"/>
  <c r="K183" i="2"/>
  <c r="J183" i="2"/>
  <c r="I183" i="2"/>
  <c r="H183" i="2"/>
  <c r="G183" i="2"/>
  <c r="F183" i="2"/>
  <c r="E183" i="2"/>
  <c r="B183" i="55"/>
  <c r="A183" i="55"/>
  <c r="N183" i="55" s="1"/>
  <c r="R182" i="2"/>
  <c r="Q182" i="2"/>
  <c r="P182" i="2"/>
  <c r="O182" i="2"/>
  <c r="M182" i="2"/>
  <c r="L182" i="2"/>
  <c r="K182" i="2"/>
  <c r="J182" i="2"/>
  <c r="I182" i="2"/>
  <c r="H182" i="2"/>
  <c r="G182" i="2"/>
  <c r="F182" i="2"/>
  <c r="E182" i="2"/>
  <c r="B182" i="55"/>
  <c r="A182" i="55"/>
  <c r="N182" i="55" s="1"/>
  <c r="R181" i="2"/>
  <c r="Q181" i="2"/>
  <c r="P181" i="2"/>
  <c r="O181" i="2"/>
  <c r="M181" i="2"/>
  <c r="L181" i="2"/>
  <c r="K181" i="2"/>
  <c r="J181" i="2"/>
  <c r="I181" i="2"/>
  <c r="H181" i="2"/>
  <c r="G181" i="2"/>
  <c r="F181" i="2"/>
  <c r="E181" i="2"/>
  <c r="B181" i="55"/>
  <c r="A181" i="55"/>
  <c r="N181" i="55" s="1"/>
  <c r="R180" i="2"/>
  <c r="Q180" i="2"/>
  <c r="P180" i="2"/>
  <c r="O180" i="2"/>
  <c r="M180" i="2"/>
  <c r="L180" i="2"/>
  <c r="K180" i="2"/>
  <c r="J180" i="2"/>
  <c r="I180" i="2"/>
  <c r="H180" i="2"/>
  <c r="G180" i="2"/>
  <c r="F180" i="2"/>
  <c r="E180" i="2"/>
  <c r="B180" i="55"/>
  <c r="A180" i="55"/>
  <c r="N180" i="55" s="1"/>
  <c r="R179" i="2"/>
  <c r="Q179" i="2"/>
  <c r="P179" i="2"/>
  <c r="O179" i="2"/>
  <c r="M179" i="2"/>
  <c r="L179" i="2"/>
  <c r="K179" i="2"/>
  <c r="J179" i="2"/>
  <c r="I179" i="2"/>
  <c r="H179" i="2"/>
  <c r="G179" i="2"/>
  <c r="F179" i="2"/>
  <c r="E179" i="2"/>
  <c r="B179" i="55"/>
  <c r="A179" i="55"/>
  <c r="N179" i="55" s="1"/>
  <c r="R178" i="2"/>
  <c r="Q178" i="2"/>
  <c r="P178" i="2"/>
  <c r="O178" i="2"/>
  <c r="M178" i="2"/>
  <c r="L178" i="2"/>
  <c r="K178" i="2"/>
  <c r="J178" i="2"/>
  <c r="I178" i="2"/>
  <c r="H178" i="2"/>
  <c r="G178" i="2"/>
  <c r="F178" i="2"/>
  <c r="E178" i="2"/>
  <c r="B178" i="55"/>
  <c r="A178" i="55"/>
  <c r="N178" i="55" s="1"/>
  <c r="R177" i="2"/>
  <c r="Q177" i="2"/>
  <c r="P177" i="2"/>
  <c r="O177" i="2"/>
  <c r="M177" i="2"/>
  <c r="L177" i="2"/>
  <c r="K177" i="2"/>
  <c r="J177" i="2"/>
  <c r="I177" i="2"/>
  <c r="H177" i="2"/>
  <c r="G177" i="2"/>
  <c r="F177" i="2"/>
  <c r="E177" i="2"/>
  <c r="B177" i="55"/>
  <c r="A177" i="55"/>
  <c r="N177" i="55" s="1"/>
  <c r="R176" i="2"/>
  <c r="Q176" i="2"/>
  <c r="P176" i="2"/>
  <c r="O176" i="2"/>
  <c r="M176" i="2"/>
  <c r="L176" i="2"/>
  <c r="K176" i="2"/>
  <c r="J176" i="2"/>
  <c r="I176" i="2"/>
  <c r="H176" i="2"/>
  <c r="G176" i="2"/>
  <c r="F176" i="2"/>
  <c r="E176" i="2"/>
  <c r="B176" i="55"/>
  <c r="A176" i="55"/>
  <c r="N176" i="55" s="1"/>
  <c r="R175" i="2"/>
  <c r="Q175" i="2"/>
  <c r="P175" i="2"/>
  <c r="O175" i="2"/>
  <c r="M175" i="2"/>
  <c r="L175" i="2"/>
  <c r="K175" i="2"/>
  <c r="J175" i="2"/>
  <c r="I175" i="2"/>
  <c r="H175" i="2"/>
  <c r="G175" i="2"/>
  <c r="F175" i="2"/>
  <c r="E175" i="2"/>
  <c r="B175" i="55"/>
  <c r="A175" i="55"/>
  <c r="N175" i="55" s="1"/>
  <c r="R174" i="2"/>
  <c r="Q174" i="2"/>
  <c r="P174" i="2"/>
  <c r="O174" i="2"/>
  <c r="M174" i="2"/>
  <c r="L174" i="2"/>
  <c r="K174" i="2"/>
  <c r="J174" i="2"/>
  <c r="I174" i="2"/>
  <c r="H174" i="2"/>
  <c r="G174" i="2"/>
  <c r="F174" i="2"/>
  <c r="E174" i="2"/>
  <c r="B174" i="55"/>
  <c r="A174" i="55"/>
  <c r="N174" i="55" s="1"/>
  <c r="R173" i="2"/>
  <c r="Q173" i="2"/>
  <c r="P173" i="2"/>
  <c r="O173" i="2"/>
  <c r="M173" i="2"/>
  <c r="L173" i="2"/>
  <c r="K173" i="2"/>
  <c r="J173" i="2"/>
  <c r="I173" i="2"/>
  <c r="H173" i="2"/>
  <c r="G173" i="2"/>
  <c r="F173" i="2"/>
  <c r="E173" i="2"/>
  <c r="B173" i="55"/>
  <c r="A173" i="55"/>
  <c r="N173" i="55" s="1"/>
  <c r="R172" i="2"/>
  <c r="Q172" i="2"/>
  <c r="P172" i="2"/>
  <c r="O172" i="2"/>
  <c r="M172" i="2"/>
  <c r="L172" i="2"/>
  <c r="K172" i="2"/>
  <c r="J172" i="2"/>
  <c r="I172" i="2"/>
  <c r="H172" i="2"/>
  <c r="G172" i="2"/>
  <c r="F172" i="2"/>
  <c r="E172" i="2"/>
  <c r="B172" i="55"/>
  <c r="A172" i="55"/>
  <c r="N172" i="55" s="1"/>
  <c r="R171" i="2"/>
  <c r="Q171" i="2"/>
  <c r="P171" i="2"/>
  <c r="O171" i="2"/>
  <c r="M171" i="2"/>
  <c r="L171" i="2"/>
  <c r="K171" i="2"/>
  <c r="J171" i="2"/>
  <c r="I171" i="2"/>
  <c r="H171" i="2"/>
  <c r="G171" i="2"/>
  <c r="F171" i="2"/>
  <c r="E171" i="2"/>
  <c r="B171" i="55"/>
  <c r="A171" i="55"/>
  <c r="N171" i="55" s="1"/>
  <c r="R170" i="2"/>
  <c r="Q170" i="2"/>
  <c r="P170" i="2"/>
  <c r="O170" i="2"/>
  <c r="M170" i="2"/>
  <c r="L170" i="2"/>
  <c r="K170" i="2"/>
  <c r="J170" i="2"/>
  <c r="I170" i="2"/>
  <c r="H170" i="2"/>
  <c r="G170" i="2"/>
  <c r="F170" i="2"/>
  <c r="E170" i="2"/>
  <c r="B170" i="55"/>
  <c r="A170" i="55"/>
  <c r="N170" i="55" s="1"/>
  <c r="R169" i="2"/>
  <c r="Q169" i="2"/>
  <c r="P169" i="2"/>
  <c r="O169" i="2"/>
  <c r="M169" i="2"/>
  <c r="L169" i="2"/>
  <c r="K169" i="2"/>
  <c r="J169" i="2"/>
  <c r="I169" i="2"/>
  <c r="H169" i="2"/>
  <c r="G169" i="2"/>
  <c r="F169" i="2"/>
  <c r="E169" i="2"/>
  <c r="B169" i="55"/>
  <c r="A169" i="55"/>
  <c r="N169" i="55" s="1"/>
  <c r="R168" i="2"/>
  <c r="Q168" i="2"/>
  <c r="P168" i="2"/>
  <c r="O168" i="2"/>
  <c r="M168" i="2"/>
  <c r="L168" i="2"/>
  <c r="K168" i="2"/>
  <c r="J168" i="2"/>
  <c r="I168" i="2"/>
  <c r="H168" i="2"/>
  <c r="G168" i="2"/>
  <c r="F168" i="2"/>
  <c r="E168" i="2"/>
  <c r="B168" i="55"/>
  <c r="A168" i="55"/>
  <c r="N168" i="55" s="1"/>
  <c r="R167" i="2"/>
  <c r="Q167" i="2"/>
  <c r="P167" i="2"/>
  <c r="O167" i="2"/>
  <c r="M167" i="2"/>
  <c r="L167" i="2"/>
  <c r="K167" i="2"/>
  <c r="J167" i="2"/>
  <c r="I167" i="2"/>
  <c r="H167" i="2"/>
  <c r="G167" i="2"/>
  <c r="F167" i="2"/>
  <c r="E167" i="2"/>
  <c r="B167" i="55"/>
  <c r="A167" i="55"/>
  <c r="N167" i="55" s="1"/>
  <c r="R166" i="2"/>
  <c r="Q166" i="2"/>
  <c r="P166" i="2"/>
  <c r="O166" i="2"/>
  <c r="M166" i="2"/>
  <c r="L166" i="2"/>
  <c r="K166" i="2"/>
  <c r="J166" i="2"/>
  <c r="I166" i="2"/>
  <c r="H166" i="2"/>
  <c r="G166" i="2"/>
  <c r="F166" i="2"/>
  <c r="E166" i="2"/>
  <c r="B166" i="55"/>
  <c r="A166" i="55"/>
  <c r="N166" i="55" s="1"/>
  <c r="R165" i="2"/>
  <c r="Q165" i="2"/>
  <c r="P165" i="2"/>
  <c r="O165" i="2"/>
  <c r="M165" i="2"/>
  <c r="L165" i="2"/>
  <c r="K165" i="2"/>
  <c r="J165" i="2"/>
  <c r="I165" i="2"/>
  <c r="H165" i="2"/>
  <c r="G165" i="2"/>
  <c r="F165" i="2"/>
  <c r="E165" i="2"/>
  <c r="B165" i="55"/>
  <c r="A165" i="55"/>
  <c r="N165" i="55" s="1"/>
  <c r="R164" i="2"/>
  <c r="Q164" i="2"/>
  <c r="P164" i="2"/>
  <c r="O164" i="2"/>
  <c r="M164" i="2"/>
  <c r="L164" i="2"/>
  <c r="K164" i="2"/>
  <c r="J164" i="2"/>
  <c r="I164" i="2"/>
  <c r="H164" i="2"/>
  <c r="G164" i="2"/>
  <c r="F164" i="2"/>
  <c r="E164" i="2"/>
  <c r="B164" i="55"/>
  <c r="A164" i="55"/>
  <c r="N164" i="55" s="1"/>
  <c r="R163" i="2"/>
  <c r="Q163" i="2"/>
  <c r="P163" i="2"/>
  <c r="O163" i="2"/>
  <c r="M163" i="2"/>
  <c r="L163" i="2"/>
  <c r="K163" i="2"/>
  <c r="J163" i="2"/>
  <c r="I163" i="2"/>
  <c r="H163" i="2"/>
  <c r="G163" i="2"/>
  <c r="F163" i="2"/>
  <c r="E163" i="2"/>
  <c r="B163" i="55"/>
  <c r="A163" i="55"/>
  <c r="N163" i="55" s="1"/>
  <c r="R162" i="2"/>
  <c r="Q162" i="2"/>
  <c r="P162" i="2"/>
  <c r="O162" i="2"/>
  <c r="M162" i="2"/>
  <c r="L162" i="2"/>
  <c r="K162" i="2"/>
  <c r="J162" i="2"/>
  <c r="I162" i="2"/>
  <c r="H162" i="2"/>
  <c r="G162" i="2"/>
  <c r="F162" i="2"/>
  <c r="E162" i="2"/>
  <c r="B162" i="55"/>
  <c r="A162" i="55"/>
  <c r="N162" i="55" s="1"/>
  <c r="R161" i="2"/>
  <c r="Q161" i="2"/>
  <c r="P161" i="2"/>
  <c r="O161" i="2"/>
  <c r="M161" i="2"/>
  <c r="L161" i="2"/>
  <c r="K161" i="2"/>
  <c r="J161" i="2"/>
  <c r="I161" i="2"/>
  <c r="H161" i="2"/>
  <c r="G161" i="2"/>
  <c r="F161" i="2"/>
  <c r="E161" i="2"/>
  <c r="B161" i="55"/>
  <c r="A161" i="55"/>
  <c r="N161" i="55" s="1"/>
  <c r="R160" i="2"/>
  <c r="Q160" i="2"/>
  <c r="P160" i="2"/>
  <c r="O160" i="2"/>
  <c r="M160" i="2"/>
  <c r="L160" i="2"/>
  <c r="K160" i="2"/>
  <c r="J160" i="2"/>
  <c r="I160" i="2"/>
  <c r="H160" i="2"/>
  <c r="G160" i="2"/>
  <c r="F160" i="2"/>
  <c r="E160" i="2"/>
  <c r="B160" i="55"/>
  <c r="A160" i="55"/>
  <c r="N160" i="55" s="1"/>
  <c r="R159" i="2"/>
  <c r="Q159" i="2"/>
  <c r="P159" i="2"/>
  <c r="O159" i="2"/>
  <c r="M159" i="2"/>
  <c r="L159" i="2"/>
  <c r="K159" i="2"/>
  <c r="J159" i="2"/>
  <c r="I159" i="2"/>
  <c r="H159" i="2"/>
  <c r="G159" i="2"/>
  <c r="F159" i="2"/>
  <c r="E159" i="2"/>
  <c r="B159" i="55"/>
  <c r="A159" i="55"/>
  <c r="N159" i="55" s="1"/>
  <c r="R158" i="2"/>
  <c r="Q158" i="2"/>
  <c r="P158" i="2"/>
  <c r="O158" i="2"/>
  <c r="M158" i="2"/>
  <c r="L158" i="2"/>
  <c r="K158" i="2"/>
  <c r="J158" i="2"/>
  <c r="I158" i="2"/>
  <c r="H158" i="2"/>
  <c r="G158" i="2"/>
  <c r="F158" i="2"/>
  <c r="E158" i="2"/>
  <c r="B158" i="55"/>
  <c r="A158" i="55"/>
  <c r="N158" i="55" s="1"/>
  <c r="R157" i="2"/>
  <c r="Q157" i="2"/>
  <c r="P157" i="2"/>
  <c r="O157" i="2"/>
  <c r="M157" i="2"/>
  <c r="L157" i="2"/>
  <c r="K157" i="2"/>
  <c r="J157" i="2"/>
  <c r="I157" i="2"/>
  <c r="H157" i="2"/>
  <c r="G157" i="2"/>
  <c r="F157" i="2"/>
  <c r="E157" i="2"/>
  <c r="B157" i="55"/>
  <c r="A157" i="55"/>
  <c r="N157" i="55" s="1"/>
  <c r="R156" i="2"/>
  <c r="Q156" i="2"/>
  <c r="P156" i="2"/>
  <c r="O156" i="2"/>
  <c r="M156" i="2"/>
  <c r="L156" i="2"/>
  <c r="K156" i="2"/>
  <c r="J156" i="2"/>
  <c r="I156" i="2"/>
  <c r="H156" i="2"/>
  <c r="G156" i="2"/>
  <c r="F156" i="2"/>
  <c r="E156" i="2"/>
  <c r="B156" i="55"/>
  <c r="A156" i="55"/>
  <c r="N156" i="55" s="1"/>
  <c r="R155" i="2"/>
  <c r="Q155" i="2"/>
  <c r="P155" i="2"/>
  <c r="O155" i="2"/>
  <c r="M155" i="2"/>
  <c r="L155" i="2"/>
  <c r="K155" i="2"/>
  <c r="J155" i="2"/>
  <c r="I155" i="2"/>
  <c r="H155" i="2"/>
  <c r="G155" i="2"/>
  <c r="F155" i="2"/>
  <c r="E155" i="2"/>
  <c r="B155" i="55"/>
  <c r="A155" i="55"/>
  <c r="N155" i="55" s="1"/>
  <c r="R154" i="2"/>
  <c r="Q154" i="2"/>
  <c r="P154" i="2"/>
  <c r="O154" i="2"/>
  <c r="M154" i="2"/>
  <c r="L154" i="2"/>
  <c r="K154" i="2"/>
  <c r="J154" i="2"/>
  <c r="I154" i="2"/>
  <c r="H154" i="2"/>
  <c r="G154" i="2"/>
  <c r="F154" i="2"/>
  <c r="E154" i="2"/>
  <c r="B154" i="55"/>
  <c r="A154" i="55"/>
  <c r="N154" i="55" s="1"/>
  <c r="R153" i="2"/>
  <c r="Q153" i="2"/>
  <c r="P153" i="2"/>
  <c r="O153" i="2"/>
  <c r="M153" i="2"/>
  <c r="L153" i="2"/>
  <c r="K153" i="2"/>
  <c r="J153" i="2"/>
  <c r="I153" i="2"/>
  <c r="H153" i="2"/>
  <c r="G153" i="2"/>
  <c r="F153" i="2"/>
  <c r="E153" i="2"/>
  <c r="B153" i="55"/>
  <c r="A153" i="55"/>
  <c r="N153" i="55" s="1"/>
  <c r="R152" i="2"/>
  <c r="Q152" i="2"/>
  <c r="P152" i="2"/>
  <c r="O152" i="2"/>
  <c r="M152" i="2"/>
  <c r="L152" i="2"/>
  <c r="K152" i="2"/>
  <c r="J152" i="2"/>
  <c r="I152" i="2"/>
  <c r="H152" i="2"/>
  <c r="G152" i="2"/>
  <c r="F152" i="2"/>
  <c r="E152" i="2"/>
  <c r="B152" i="55"/>
  <c r="A152" i="55"/>
  <c r="N152" i="55" s="1"/>
  <c r="R151" i="2"/>
  <c r="Q151" i="2"/>
  <c r="P151" i="2"/>
  <c r="O151" i="2"/>
  <c r="M151" i="2"/>
  <c r="L151" i="2"/>
  <c r="K151" i="2"/>
  <c r="J151" i="2"/>
  <c r="I151" i="2"/>
  <c r="H151" i="2"/>
  <c r="G151" i="2"/>
  <c r="F151" i="2"/>
  <c r="E151" i="2"/>
  <c r="B151" i="55"/>
  <c r="A151" i="55"/>
  <c r="N151" i="55" s="1"/>
  <c r="R150" i="2"/>
  <c r="Q150" i="2"/>
  <c r="P150" i="2"/>
  <c r="O150" i="2"/>
  <c r="M150" i="2"/>
  <c r="L150" i="2"/>
  <c r="K150" i="2"/>
  <c r="J150" i="2"/>
  <c r="I150" i="2"/>
  <c r="H150" i="2"/>
  <c r="G150" i="2"/>
  <c r="F150" i="2"/>
  <c r="E150" i="2"/>
  <c r="B150" i="55"/>
  <c r="A150" i="55"/>
  <c r="N150" i="55" s="1"/>
  <c r="R149" i="2"/>
  <c r="Q149" i="2"/>
  <c r="P149" i="2"/>
  <c r="O149" i="2"/>
  <c r="M149" i="2"/>
  <c r="L149" i="2"/>
  <c r="K149" i="2"/>
  <c r="J149" i="2"/>
  <c r="I149" i="2"/>
  <c r="H149" i="2"/>
  <c r="G149" i="2"/>
  <c r="F149" i="2"/>
  <c r="E149" i="2"/>
  <c r="B149" i="55"/>
  <c r="A149" i="55"/>
  <c r="N149" i="55" s="1"/>
  <c r="R148" i="2"/>
  <c r="Q148" i="2"/>
  <c r="P148" i="2"/>
  <c r="O148" i="2"/>
  <c r="M148" i="2"/>
  <c r="L148" i="2"/>
  <c r="K148" i="2"/>
  <c r="J148" i="2"/>
  <c r="I148" i="2"/>
  <c r="H148" i="2"/>
  <c r="G148" i="2"/>
  <c r="F148" i="2"/>
  <c r="E148" i="2"/>
  <c r="B148" i="55"/>
  <c r="A148" i="55"/>
  <c r="N148" i="55" s="1"/>
  <c r="R147" i="2"/>
  <c r="Q147" i="2"/>
  <c r="P147" i="2"/>
  <c r="O147" i="2"/>
  <c r="M147" i="2"/>
  <c r="L147" i="2"/>
  <c r="K147" i="2"/>
  <c r="J147" i="2"/>
  <c r="I147" i="2"/>
  <c r="H147" i="2"/>
  <c r="G147" i="2"/>
  <c r="F147" i="2"/>
  <c r="E147" i="2"/>
  <c r="B147" i="55"/>
  <c r="A147" i="55"/>
  <c r="N147" i="55" s="1"/>
  <c r="R146" i="2"/>
  <c r="Q146" i="2"/>
  <c r="P146" i="2"/>
  <c r="O146" i="2"/>
  <c r="M146" i="2"/>
  <c r="L146" i="2"/>
  <c r="K146" i="2"/>
  <c r="J146" i="2"/>
  <c r="I146" i="2"/>
  <c r="H146" i="2"/>
  <c r="G146" i="2"/>
  <c r="F146" i="2"/>
  <c r="E146" i="2"/>
  <c r="B146" i="55"/>
  <c r="A146" i="55"/>
  <c r="N146" i="55" s="1"/>
  <c r="R145" i="2"/>
  <c r="Q145" i="2"/>
  <c r="P145" i="2"/>
  <c r="O145" i="2"/>
  <c r="M145" i="2"/>
  <c r="L145" i="2"/>
  <c r="K145" i="2"/>
  <c r="J145" i="2"/>
  <c r="I145" i="2"/>
  <c r="H145" i="2"/>
  <c r="G145" i="2"/>
  <c r="F145" i="2"/>
  <c r="E145" i="2"/>
  <c r="B145" i="55"/>
  <c r="A145" i="55"/>
  <c r="N145" i="55" s="1"/>
  <c r="R144" i="2"/>
  <c r="Q144" i="2"/>
  <c r="P144" i="2"/>
  <c r="O144" i="2"/>
  <c r="M144" i="2"/>
  <c r="L144" i="2"/>
  <c r="K144" i="2"/>
  <c r="J144" i="2"/>
  <c r="I144" i="2"/>
  <c r="H144" i="2"/>
  <c r="G144" i="2"/>
  <c r="F144" i="2"/>
  <c r="E144" i="2"/>
  <c r="B144" i="55"/>
  <c r="A144" i="55"/>
  <c r="N144" i="55" s="1"/>
  <c r="R143" i="2"/>
  <c r="Q143" i="2"/>
  <c r="P143" i="2"/>
  <c r="O143" i="2"/>
  <c r="M143" i="2"/>
  <c r="L143" i="2"/>
  <c r="K143" i="2"/>
  <c r="J143" i="2"/>
  <c r="I143" i="2"/>
  <c r="H143" i="2"/>
  <c r="G143" i="2"/>
  <c r="F143" i="2"/>
  <c r="E143" i="2"/>
  <c r="B143" i="55"/>
  <c r="A143" i="55"/>
  <c r="N143" i="55" s="1"/>
  <c r="R142" i="2"/>
  <c r="Q142" i="2"/>
  <c r="P142" i="2"/>
  <c r="O142" i="2"/>
  <c r="M142" i="2"/>
  <c r="L142" i="2"/>
  <c r="K142" i="2"/>
  <c r="J142" i="2"/>
  <c r="I142" i="2"/>
  <c r="H142" i="2"/>
  <c r="G142" i="2"/>
  <c r="F142" i="2"/>
  <c r="E142" i="2"/>
  <c r="B142" i="55"/>
  <c r="A142" i="55"/>
  <c r="N142" i="55" s="1"/>
  <c r="R141" i="2"/>
  <c r="Q141" i="2"/>
  <c r="P141" i="2"/>
  <c r="O141" i="2"/>
  <c r="M141" i="2"/>
  <c r="L141" i="2"/>
  <c r="K141" i="2"/>
  <c r="J141" i="2"/>
  <c r="I141" i="2"/>
  <c r="H141" i="2"/>
  <c r="G141" i="2"/>
  <c r="F141" i="2"/>
  <c r="E141" i="2"/>
  <c r="B141" i="55"/>
  <c r="A141" i="55"/>
  <c r="N141" i="55" s="1"/>
  <c r="R140" i="2"/>
  <c r="Q140" i="2"/>
  <c r="P140" i="2"/>
  <c r="O140" i="2"/>
  <c r="M140" i="2"/>
  <c r="L140" i="2"/>
  <c r="K140" i="2"/>
  <c r="J140" i="2"/>
  <c r="I140" i="2"/>
  <c r="H140" i="2"/>
  <c r="G140" i="2"/>
  <c r="F140" i="2"/>
  <c r="E140" i="2"/>
  <c r="B140" i="55"/>
  <c r="A140" i="55"/>
  <c r="N140" i="55" s="1"/>
  <c r="R139" i="2"/>
  <c r="Q139" i="2"/>
  <c r="P139" i="2"/>
  <c r="O139" i="2"/>
  <c r="M139" i="2"/>
  <c r="L139" i="2"/>
  <c r="K139" i="2"/>
  <c r="J139" i="2"/>
  <c r="I139" i="2"/>
  <c r="H139" i="2"/>
  <c r="G139" i="2"/>
  <c r="F139" i="2"/>
  <c r="E139" i="2"/>
  <c r="B139" i="55"/>
  <c r="A139" i="55"/>
  <c r="N139" i="55" s="1"/>
  <c r="R138" i="2"/>
  <c r="Q138" i="2"/>
  <c r="P138" i="2"/>
  <c r="O138" i="2"/>
  <c r="M138" i="2"/>
  <c r="L138" i="2"/>
  <c r="K138" i="2"/>
  <c r="J138" i="2"/>
  <c r="I138" i="2"/>
  <c r="H138" i="2"/>
  <c r="G138" i="2"/>
  <c r="F138" i="2"/>
  <c r="E138" i="2"/>
  <c r="B138" i="55"/>
  <c r="A138" i="55"/>
  <c r="N138" i="55" s="1"/>
  <c r="R137" i="2"/>
  <c r="Q137" i="2"/>
  <c r="P137" i="2"/>
  <c r="O137" i="2"/>
  <c r="M137" i="2"/>
  <c r="L137" i="2"/>
  <c r="K137" i="2"/>
  <c r="J137" i="2"/>
  <c r="I137" i="2"/>
  <c r="H137" i="2"/>
  <c r="G137" i="2"/>
  <c r="F137" i="2"/>
  <c r="E137" i="2"/>
  <c r="B137" i="55"/>
  <c r="A137" i="55"/>
  <c r="N137" i="55" s="1"/>
  <c r="R136" i="2"/>
  <c r="Q136" i="2"/>
  <c r="P136" i="2"/>
  <c r="O136" i="2"/>
  <c r="M136" i="2"/>
  <c r="L136" i="2"/>
  <c r="K136" i="2"/>
  <c r="J136" i="2"/>
  <c r="I136" i="2"/>
  <c r="H136" i="2"/>
  <c r="G136" i="2"/>
  <c r="F136" i="2"/>
  <c r="E136" i="2"/>
  <c r="B136" i="55"/>
  <c r="A136" i="55"/>
  <c r="N136" i="55" s="1"/>
  <c r="R135" i="2"/>
  <c r="Q135" i="2"/>
  <c r="P135" i="2"/>
  <c r="O135" i="2"/>
  <c r="M135" i="2"/>
  <c r="L135" i="2"/>
  <c r="K135" i="2"/>
  <c r="J135" i="2"/>
  <c r="I135" i="2"/>
  <c r="H135" i="2"/>
  <c r="G135" i="2"/>
  <c r="F135" i="2"/>
  <c r="E135" i="2"/>
  <c r="B135" i="55"/>
  <c r="A135" i="55"/>
  <c r="N135" i="55" s="1"/>
  <c r="R134" i="2"/>
  <c r="Q134" i="2"/>
  <c r="P134" i="2"/>
  <c r="O134" i="2"/>
  <c r="M134" i="2"/>
  <c r="L134" i="2"/>
  <c r="K134" i="2"/>
  <c r="J134" i="2"/>
  <c r="I134" i="2"/>
  <c r="H134" i="2"/>
  <c r="G134" i="2"/>
  <c r="F134" i="2"/>
  <c r="E134" i="2"/>
  <c r="B134" i="55"/>
  <c r="A134" i="55"/>
  <c r="N134" i="55" s="1"/>
  <c r="R133" i="2"/>
  <c r="Q133" i="2"/>
  <c r="P133" i="2"/>
  <c r="O133" i="2"/>
  <c r="M133" i="2"/>
  <c r="L133" i="2"/>
  <c r="K133" i="2"/>
  <c r="J133" i="2"/>
  <c r="I133" i="2"/>
  <c r="H133" i="2"/>
  <c r="G133" i="2"/>
  <c r="F133" i="2"/>
  <c r="E133" i="2"/>
  <c r="B133" i="55"/>
  <c r="A133" i="55"/>
  <c r="N133" i="55" s="1"/>
  <c r="R132" i="2"/>
  <c r="Q132" i="2"/>
  <c r="P132" i="2"/>
  <c r="O132" i="2"/>
  <c r="M132" i="2"/>
  <c r="L132" i="2"/>
  <c r="K132" i="2"/>
  <c r="J132" i="2"/>
  <c r="I132" i="2"/>
  <c r="H132" i="2"/>
  <c r="G132" i="2"/>
  <c r="F132" i="2"/>
  <c r="E132" i="2"/>
  <c r="B132" i="55"/>
  <c r="A132" i="55"/>
  <c r="N132" i="55" s="1"/>
  <c r="R131" i="2"/>
  <c r="Q131" i="2"/>
  <c r="P131" i="2"/>
  <c r="O131" i="2"/>
  <c r="M131" i="2"/>
  <c r="L131" i="2"/>
  <c r="K131" i="2"/>
  <c r="J131" i="2"/>
  <c r="I131" i="2"/>
  <c r="H131" i="2"/>
  <c r="G131" i="2"/>
  <c r="F131" i="2"/>
  <c r="E131" i="2"/>
  <c r="B131" i="55"/>
  <c r="A131" i="55"/>
  <c r="N131" i="55" s="1"/>
  <c r="R130" i="2"/>
  <c r="Q130" i="2"/>
  <c r="P130" i="2"/>
  <c r="O130" i="2"/>
  <c r="M130" i="2"/>
  <c r="L130" i="2"/>
  <c r="K130" i="2"/>
  <c r="J130" i="2"/>
  <c r="I130" i="2"/>
  <c r="H130" i="2"/>
  <c r="G130" i="2"/>
  <c r="F130" i="2"/>
  <c r="E130" i="2"/>
  <c r="B130" i="55"/>
  <c r="A130" i="55"/>
  <c r="N130" i="55" s="1"/>
  <c r="R129" i="2"/>
  <c r="Q129" i="2"/>
  <c r="P129" i="2"/>
  <c r="O129" i="2"/>
  <c r="M129" i="2"/>
  <c r="L129" i="2"/>
  <c r="K129" i="2"/>
  <c r="J129" i="2"/>
  <c r="I129" i="2"/>
  <c r="H129" i="2"/>
  <c r="G129" i="2"/>
  <c r="F129" i="2"/>
  <c r="E129" i="2"/>
  <c r="B129" i="55"/>
  <c r="A129" i="55"/>
  <c r="N129" i="55" s="1"/>
  <c r="R128" i="2"/>
  <c r="Q128" i="2"/>
  <c r="P128" i="2"/>
  <c r="O128" i="2"/>
  <c r="M128" i="2"/>
  <c r="L128" i="2"/>
  <c r="K128" i="2"/>
  <c r="J128" i="2"/>
  <c r="I128" i="2"/>
  <c r="H128" i="2"/>
  <c r="G128" i="2"/>
  <c r="F128" i="2"/>
  <c r="E128" i="2"/>
  <c r="B128" i="55"/>
  <c r="A128" i="55"/>
  <c r="N128" i="55" s="1"/>
  <c r="R127" i="2"/>
  <c r="Q127" i="2"/>
  <c r="P127" i="2"/>
  <c r="O127" i="2"/>
  <c r="M127" i="2"/>
  <c r="L127" i="2"/>
  <c r="K127" i="2"/>
  <c r="J127" i="2"/>
  <c r="I127" i="2"/>
  <c r="H127" i="2"/>
  <c r="G127" i="2"/>
  <c r="F127" i="2"/>
  <c r="E127" i="2"/>
  <c r="B127" i="55"/>
  <c r="A127" i="55"/>
  <c r="N127" i="55" s="1"/>
  <c r="R126" i="2"/>
  <c r="Q126" i="2"/>
  <c r="P126" i="2"/>
  <c r="O126" i="2"/>
  <c r="M126" i="2"/>
  <c r="L126" i="2"/>
  <c r="K126" i="2"/>
  <c r="J126" i="2"/>
  <c r="I126" i="2"/>
  <c r="H126" i="2"/>
  <c r="G126" i="2"/>
  <c r="F126" i="2"/>
  <c r="E126" i="2"/>
  <c r="B126" i="55"/>
  <c r="A126" i="55"/>
  <c r="N126" i="55" s="1"/>
  <c r="R125" i="2"/>
  <c r="Q125" i="2"/>
  <c r="P125" i="2"/>
  <c r="O125" i="2"/>
  <c r="M125" i="2"/>
  <c r="L125" i="2"/>
  <c r="K125" i="2"/>
  <c r="J125" i="2"/>
  <c r="I125" i="2"/>
  <c r="H125" i="2"/>
  <c r="G125" i="2"/>
  <c r="F125" i="2"/>
  <c r="E125" i="2"/>
  <c r="B125" i="55"/>
  <c r="A125" i="55"/>
  <c r="N125" i="55" s="1"/>
  <c r="R124" i="2"/>
  <c r="Q124" i="2"/>
  <c r="P124" i="2"/>
  <c r="O124" i="2"/>
  <c r="M124" i="2"/>
  <c r="L124" i="2"/>
  <c r="K124" i="2"/>
  <c r="J124" i="2"/>
  <c r="I124" i="2"/>
  <c r="H124" i="2"/>
  <c r="G124" i="2"/>
  <c r="F124" i="2"/>
  <c r="E124" i="2"/>
  <c r="B124" i="55"/>
  <c r="A124" i="55"/>
  <c r="N124" i="55" s="1"/>
  <c r="R123" i="2"/>
  <c r="Q123" i="2"/>
  <c r="P123" i="2"/>
  <c r="O123" i="2"/>
  <c r="M123" i="2"/>
  <c r="L123" i="2"/>
  <c r="K123" i="2"/>
  <c r="J123" i="2"/>
  <c r="I123" i="2"/>
  <c r="H123" i="2"/>
  <c r="G123" i="2"/>
  <c r="F123" i="2"/>
  <c r="E123" i="2"/>
  <c r="B123" i="55"/>
  <c r="A123" i="55"/>
  <c r="N123" i="55" s="1"/>
  <c r="R122" i="2"/>
  <c r="Q122" i="2"/>
  <c r="P122" i="2"/>
  <c r="O122" i="2"/>
  <c r="M122" i="2"/>
  <c r="L122" i="2"/>
  <c r="K122" i="2"/>
  <c r="J122" i="2"/>
  <c r="I122" i="2"/>
  <c r="H122" i="2"/>
  <c r="G122" i="2"/>
  <c r="F122" i="2"/>
  <c r="E122" i="2"/>
  <c r="B122" i="55"/>
  <c r="A122" i="55"/>
  <c r="N122" i="55" s="1"/>
  <c r="R121" i="2"/>
  <c r="Q121" i="2"/>
  <c r="P121" i="2"/>
  <c r="O121" i="2"/>
  <c r="M121" i="2"/>
  <c r="L121" i="2"/>
  <c r="K121" i="2"/>
  <c r="J121" i="2"/>
  <c r="I121" i="2"/>
  <c r="H121" i="2"/>
  <c r="G121" i="2"/>
  <c r="F121" i="2"/>
  <c r="E121" i="2"/>
  <c r="B121" i="55"/>
  <c r="A121" i="55"/>
  <c r="N121" i="55" s="1"/>
  <c r="R120" i="2"/>
  <c r="Q120" i="2"/>
  <c r="P120" i="2"/>
  <c r="O120" i="2"/>
  <c r="M120" i="2"/>
  <c r="L120" i="2"/>
  <c r="K120" i="2"/>
  <c r="J120" i="2"/>
  <c r="I120" i="2"/>
  <c r="H120" i="2"/>
  <c r="G120" i="2"/>
  <c r="F120" i="2"/>
  <c r="E120" i="2"/>
  <c r="B120" i="55"/>
  <c r="A120" i="55"/>
  <c r="N120" i="55" s="1"/>
  <c r="R119" i="2"/>
  <c r="Q119" i="2"/>
  <c r="P119" i="2"/>
  <c r="O119" i="2"/>
  <c r="M119" i="2"/>
  <c r="L119" i="2"/>
  <c r="K119" i="2"/>
  <c r="J119" i="2"/>
  <c r="I119" i="2"/>
  <c r="H119" i="2"/>
  <c r="G119" i="2"/>
  <c r="F119" i="2"/>
  <c r="E119" i="2"/>
  <c r="B119" i="55"/>
  <c r="A119" i="55"/>
  <c r="N119" i="55" s="1"/>
  <c r="R118" i="2"/>
  <c r="Q118" i="2"/>
  <c r="P118" i="2"/>
  <c r="O118" i="2"/>
  <c r="M118" i="2"/>
  <c r="L118" i="2"/>
  <c r="K118" i="2"/>
  <c r="J118" i="2"/>
  <c r="I118" i="2"/>
  <c r="H118" i="2"/>
  <c r="G118" i="2"/>
  <c r="F118" i="2"/>
  <c r="E118" i="2"/>
  <c r="B118" i="55"/>
  <c r="A118" i="55"/>
  <c r="N118" i="55" s="1"/>
  <c r="R117" i="2"/>
  <c r="Q117" i="2"/>
  <c r="P117" i="2"/>
  <c r="O117" i="2"/>
  <c r="M117" i="2"/>
  <c r="L117" i="2"/>
  <c r="K117" i="2"/>
  <c r="J117" i="2"/>
  <c r="I117" i="2"/>
  <c r="H117" i="2"/>
  <c r="G117" i="2"/>
  <c r="F117" i="2"/>
  <c r="E117" i="2"/>
  <c r="B117" i="55"/>
  <c r="A117" i="55"/>
  <c r="N117" i="55" s="1"/>
  <c r="R116" i="2"/>
  <c r="Q116" i="2"/>
  <c r="P116" i="2"/>
  <c r="O116" i="2"/>
  <c r="M116" i="2"/>
  <c r="L116" i="2"/>
  <c r="K116" i="2"/>
  <c r="J116" i="2"/>
  <c r="I116" i="2"/>
  <c r="H116" i="2"/>
  <c r="G116" i="2"/>
  <c r="F116" i="2"/>
  <c r="E116" i="2"/>
  <c r="B116" i="55"/>
  <c r="A116" i="55"/>
  <c r="N116" i="55" s="1"/>
  <c r="R115" i="2"/>
  <c r="Q115" i="2"/>
  <c r="P115" i="2"/>
  <c r="O115" i="2"/>
  <c r="M115" i="2"/>
  <c r="L115" i="2"/>
  <c r="K115" i="2"/>
  <c r="J115" i="2"/>
  <c r="I115" i="2"/>
  <c r="H115" i="2"/>
  <c r="G115" i="2"/>
  <c r="F115" i="2"/>
  <c r="E115" i="2"/>
  <c r="B115" i="55"/>
  <c r="A115" i="55"/>
  <c r="N115" i="55" s="1"/>
  <c r="R114" i="2"/>
  <c r="Q114" i="2"/>
  <c r="P114" i="2"/>
  <c r="O114" i="2"/>
  <c r="M114" i="2"/>
  <c r="L114" i="2"/>
  <c r="K114" i="2"/>
  <c r="J114" i="2"/>
  <c r="I114" i="2"/>
  <c r="H114" i="2"/>
  <c r="G114" i="2"/>
  <c r="F114" i="2"/>
  <c r="E114" i="2"/>
  <c r="B114" i="55"/>
  <c r="A114" i="55"/>
  <c r="N114" i="55" s="1"/>
  <c r="R113" i="2"/>
  <c r="Q113" i="2"/>
  <c r="P113" i="2"/>
  <c r="O113" i="2"/>
  <c r="M113" i="2"/>
  <c r="L113" i="2"/>
  <c r="K113" i="2"/>
  <c r="J113" i="2"/>
  <c r="I113" i="2"/>
  <c r="H113" i="2"/>
  <c r="G113" i="2"/>
  <c r="F113" i="2"/>
  <c r="E113" i="2"/>
  <c r="B113" i="55"/>
  <c r="A113" i="55"/>
  <c r="N113" i="55" s="1"/>
  <c r="R112" i="2"/>
  <c r="Q112" i="2"/>
  <c r="P112" i="2"/>
  <c r="O112" i="2"/>
  <c r="M112" i="2"/>
  <c r="L112" i="2"/>
  <c r="K112" i="2"/>
  <c r="J112" i="2"/>
  <c r="I112" i="2"/>
  <c r="H112" i="2"/>
  <c r="G112" i="2"/>
  <c r="F112" i="2"/>
  <c r="E112" i="2"/>
  <c r="B112" i="55"/>
  <c r="A112" i="55"/>
  <c r="N112" i="55" s="1"/>
  <c r="R111" i="2"/>
  <c r="Q111" i="2"/>
  <c r="P111" i="2"/>
  <c r="O111" i="2"/>
  <c r="M111" i="2"/>
  <c r="L111" i="2"/>
  <c r="K111" i="2"/>
  <c r="J111" i="2"/>
  <c r="I111" i="2"/>
  <c r="H111" i="2"/>
  <c r="G111" i="2"/>
  <c r="F111" i="2"/>
  <c r="E111" i="2"/>
  <c r="B111" i="55"/>
  <c r="A111" i="55"/>
  <c r="N111" i="55" s="1"/>
  <c r="R110" i="2"/>
  <c r="Q110" i="2"/>
  <c r="P110" i="2"/>
  <c r="O110" i="2"/>
  <c r="M110" i="2"/>
  <c r="L110" i="2"/>
  <c r="K110" i="2"/>
  <c r="J110" i="2"/>
  <c r="I110" i="2"/>
  <c r="H110" i="2"/>
  <c r="G110" i="2"/>
  <c r="F110" i="2"/>
  <c r="E110" i="2"/>
  <c r="B110" i="55"/>
  <c r="A110" i="55"/>
  <c r="N110" i="55" s="1"/>
  <c r="R109" i="2"/>
  <c r="Q109" i="2"/>
  <c r="P109" i="2"/>
  <c r="O109" i="2"/>
  <c r="M109" i="2"/>
  <c r="L109" i="2"/>
  <c r="K109" i="2"/>
  <c r="J109" i="2"/>
  <c r="I109" i="2"/>
  <c r="H109" i="2"/>
  <c r="G109" i="2"/>
  <c r="F109" i="2"/>
  <c r="E109" i="2"/>
  <c r="B109" i="55"/>
  <c r="A109" i="55"/>
  <c r="N109" i="55" s="1"/>
  <c r="R108" i="2"/>
  <c r="Q108" i="2"/>
  <c r="P108" i="2"/>
  <c r="O108" i="2"/>
  <c r="M108" i="2"/>
  <c r="L108" i="2"/>
  <c r="K108" i="2"/>
  <c r="J108" i="2"/>
  <c r="I108" i="2"/>
  <c r="H108" i="2"/>
  <c r="G108" i="2"/>
  <c r="F108" i="2"/>
  <c r="E108" i="2"/>
  <c r="B108" i="55"/>
  <c r="A108" i="55"/>
  <c r="N108" i="55" s="1"/>
  <c r="R107" i="2"/>
  <c r="Q107" i="2"/>
  <c r="P107" i="2"/>
  <c r="O107" i="2"/>
  <c r="M107" i="2"/>
  <c r="L107" i="2"/>
  <c r="K107" i="2"/>
  <c r="J107" i="2"/>
  <c r="I107" i="2"/>
  <c r="H107" i="2"/>
  <c r="G107" i="2"/>
  <c r="F107" i="2"/>
  <c r="E107" i="2"/>
  <c r="B107" i="55"/>
  <c r="A107" i="55"/>
  <c r="N107" i="55" s="1"/>
  <c r="R106" i="2"/>
  <c r="Q106" i="2"/>
  <c r="P106" i="2"/>
  <c r="O106" i="2"/>
  <c r="M106" i="2"/>
  <c r="L106" i="2"/>
  <c r="K106" i="2"/>
  <c r="J106" i="2"/>
  <c r="I106" i="2"/>
  <c r="H106" i="2"/>
  <c r="G106" i="2"/>
  <c r="F106" i="2"/>
  <c r="E106" i="2"/>
  <c r="B106" i="55"/>
  <c r="A106" i="55"/>
  <c r="N106" i="55" s="1"/>
  <c r="R105" i="2"/>
  <c r="Q105" i="2"/>
  <c r="P105" i="2"/>
  <c r="O105" i="2"/>
  <c r="M105" i="2"/>
  <c r="L105" i="2"/>
  <c r="K105" i="2"/>
  <c r="J105" i="2"/>
  <c r="I105" i="2"/>
  <c r="H105" i="2"/>
  <c r="G105" i="2"/>
  <c r="F105" i="2"/>
  <c r="E105" i="2"/>
  <c r="B105" i="55"/>
  <c r="A105" i="55"/>
  <c r="N105" i="55" s="1"/>
  <c r="R104" i="2"/>
  <c r="Q104" i="2"/>
  <c r="P104" i="2"/>
  <c r="O104" i="2"/>
  <c r="M104" i="2"/>
  <c r="L104" i="2"/>
  <c r="K104" i="2"/>
  <c r="J104" i="2"/>
  <c r="I104" i="2"/>
  <c r="H104" i="2"/>
  <c r="G104" i="2"/>
  <c r="F104" i="2"/>
  <c r="E104" i="2"/>
  <c r="B104" i="55"/>
  <c r="A104" i="55"/>
  <c r="N104" i="55" s="1"/>
  <c r="R103" i="2"/>
  <c r="Q103" i="2"/>
  <c r="P103" i="2"/>
  <c r="O103" i="2"/>
  <c r="M103" i="2"/>
  <c r="L103" i="2"/>
  <c r="K103" i="2"/>
  <c r="J103" i="2"/>
  <c r="I103" i="2"/>
  <c r="H103" i="2"/>
  <c r="G103" i="2"/>
  <c r="F103" i="2"/>
  <c r="E103" i="2"/>
  <c r="B103" i="55"/>
  <c r="A103" i="55"/>
  <c r="N103" i="55" s="1"/>
  <c r="R102" i="2"/>
  <c r="Q102" i="2"/>
  <c r="P102" i="2"/>
  <c r="O102" i="2"/>
  <c r="M102" i="2"/>
  <c r="L102" i="2"/>
  <c r="K102" i="2"/>
  <c r="J102" i="2"/>
  <c r="I102" i="2"/>
  <c r="H102" i="2"/>
  <c r="G102" i="2"/>
  <c r="F102" i="2"/>
  <c r="E102" i="2"/>
  <c r="B102" i="55"/>
  <c r="A102" i="55"/>
  <c r="N102" i="55" s="1"/>
  <c r="R101" i="2"/>
  <c r="Q101" i="2"/>
  <c r="P101" i="2"/>
  <c r="O101" i="2"/>
  <c r="M101" i="2"/>
  <c r="L101" i="2"/>
  <c r="K101" i="2"/>
  <c r="J101" i="2"/>
  <c r="I101" i="2"/>
  <c r="H101" i="2"/>
  <c r="G101" i="2"/>
  <c r="F101" i="2"/>
  <c r="E101" i="2"/>
  <c r="B101" i="55"/>
  <c r="A101" i="55"/>
  <c r="N101" i="55" s="1"/>
  <c r="R100" i="2"/>
  <c r="Q100" i="2"/>
  <c r="P100" i="2"/>
  <c r="O100" i="2"/>
  <c r="M100" i="2"/>
  <c r="L100" i="2"/>
  <c r="K100" i="2"/>
  <c r="J100" i="2"/>
  <c r="I100" i="2"/>
  <c r="H100" i="2"/>
  <c r="G100" i="2"/>
  <c r="F100" i="2"/>
  <c r="E100" i="2"/>
  <c r="B100" i="55"/>
  <c r="A100" i="55"/>
  <c r="N100" i="55" s="1"/>
  <c r="R99" i="2"/>
  <c r="Q99" i="2"/>
  <c r="P99" i="2"/>
  <c r="O99" i="2"/>
  <c r="M99" i="2"/>
  <c r="L99" i="2"/>
  <c r="K99" i="2"/>
  <c r="J99" i="2"/>
  <c r="I99" i="2"/>
  <c r="H99" i="2"/>
  <c r="G99" i="2"/>
  <c r="F99" i="2"/>
  <c r="E99" i="2"/>
  <c r="B99" i="55"/>
  <c r="A99" i="55"/>
  <c r="N99" i="55" s="1"/>
  <c r="R98" i="2"/>
  <c r="Q98" i="2"/>
  <c r="P98" i="2"/>
  <c r="O98" i="2"/>
  <c r="M98" i="2"/>
  <c r="L98" i="2"/>
  <c r="K98" i="2"/>
  <c r="J98" i="2"/>
  <c r="I98" i="2"/>
  <c r="H98" i="2"/>
  <c r="G98" i="2"/>
  <c r="F98" i="2"/>
  <c r="E98" i="2"/>
  <c r="B98" i="55"/>
  <c r="A98" i="55"/>
  <c r="N98" i="55" s="1"/>
  <c r="R97" i="2"/>
  <c r="Q97" i="2"/>
  <c r="P97" i="2"/>
  <c r="O97" i="2"/>
  <c r="M97" i="2"/>
  <c r="L97" i="2"/>
  <c r="K97" i="2"/>
  <c r="J97" i="2"/>
  <c r="I97" i="2"/>
  <c r="H97" i="2"/>
  <c r="G97" i="2"/>
  <c r="F97" i="2"/>
  <c r="E97" i="2"/>
  <c r="B97" i="55"/>
  <c r="A97" i="55"/>
  <c r="N97" i="55" s="1"/>
  <c r="R96" i="2"/>
  <c r="Q96" i="2"/>
  <c r="P96" i="2"/>
  <c r="O96" i="2"/>
  <c r="M96" i="2"/>
  <c r="L96" i="2"/>
  <c r="K96" i="2"/>
  <c r="J96" i="2"/>
  <c r="I96" i="2"/>
  <c r="H96" i="2"/>
  <c r="G96" i="2"/>
  <c r="F96" i="2"/>
  <c r="E96" i="2"/>
  <c r="B96" i="55"/>
  <c r="A96" i="55"/>
  <c r="N96" i="55" s="1"/>
  <c r="R95" i="2"/>
  <c r="Q95" i="2"/>
  <c r="P95" i="2"/>
  <c r="O95" i="2"/>
  <c r="M95" i="2"/>
  <c r="L95" i="2"/>
  <c r="K95" i="2"/>
  <c r="J95" i="2"/>
  <c r="I95" i="2"/>
  <c r="H95" i="2"/>
  <c r="G95" i="2"/>
  <c r="F95" i="2"/>
  <c r="E95" i="2"/>
  <c r="B95" i="55"/>
  <c r="A95" i="55"/>
  <c r="N95" i="55" s="1"/>
  <c r="R94" i="2"/>
  <c r="Q94" i="2"/>
  <c r="P94" i="2"/>
  <c r="O94" i="2"/>
  <c r="M94" i="2"/>
  <c r="L94" i="2"/>
  <c r="K94" i="2"/>
  <c r="J94" i="2"/>
  <c r="I94" i="2"/>
  <c r="H94" i="2"/>
  <c r="G94" i="2"/>
  <c r="F94" i="2"/>
  <c r="E94" i="2"/>
  <c r="B94" i="55"/>
  <c r="A94" i="55"/>
  <c r="N94" i="55" s="1"/>
  <c r="R93" i="2"/>
  <c r="Q93" i="2"/>
  <c r="P93" i="2"/>
  <c r="O93" i="2"/>
  <c r="M93" i="2"/>
  <c r="L93" i="2"/>
  <c r="K93" i="2"/>
  <c r="J93" i="2"/>
  <c r="I93" i="2"/>
  <c r="H93" i="2"/>
  <c r="G93" i="2"/>
  <c r="F93" i="2"/>
  <c r="E93" i="2"/>
  <c r="B93" i="55"/>
  <c r="A93" i="55"/>
  <c r="N93" i="55" s="1"/>
  <c r="R92" i="2"/>
  <c r="Q92" i="2"/>
  <c r="P92" i="2"/>
  <c r="O92" i="2"/>
  <c r="M92" i="2"/>
  <c r="L92" i="2"/>
  <c r="K92" i="2"/>
  <c r="J92" i="2"/>
  <c r="I92" i="2"/>
  <c r="H92" i="2"/>
  <c r="G92" i="2"/>
  <c r="F92" i="2"/>
  <c r="E92" i="2"/>
  <c r="B92" i="55"/>
  <c r="A92" i="55"/>
  <c r="N92" i="55" s="1"/>
  <c r="R91" i="2"/>
  <c r="Q91" i="2"/>
  <c r="P91" i="2"/>
  <c r="O91" i="2"/>
  <c r="M91" i="2"/>
  <c r="L91" i="2"/>
  <c r="K91" i="2"/>
  <c r="J91" i="2"/>
  <c r="I91" i="2"/>
  <c r="H91" i="2"/>
  <c r="G91" i="2"/>
  <c r="F91" i="2"/>
  <c r="E91" i="2"/>
  <c r="B91" i="55"/>
  <c r="A91" i="55"/>
  <c r="N91" i="55" s="1"/>
  <c r="R90" i="2"/>
  <c r="Q90" i="2"/>
  <c r="P90" i="2"/>
  <c r="O90" i="2"/>
  <c r="M90" i="2"/>
  <c r="L90" i="2"/>
  <c r="K90" i="2"/>
  <c r="J90" i="2"/>
  <c r="I90" i="2"/>
  <c r="H90" i="2"/>
  <c r="G90" i="2"/>
  <c r="F90" i="2"/>
  <c r="E90" i="2"/>
  <c r="B90" i="55"/>
  <c r="A90" i="55"/>
  <c r="N90" i="55" s="1"/>
  <c r="R89" i="2"/>
  <c r="Q89" i="2"/>
  <c r="P89" i="2"/>
  <c r="O89" i="2"/>
  <c r="M89" i="2"/>
  <c r="L89" i="2"/>
  <c r="K89" i="2"/>
  <c r="J89" i="2"/>
  <c r="I89" i="2"/>
  <c r="H89" i="2"/>
  <c r="G89" i="2"/>
  <c r="F89" i="2"/>
  <c r="E89" i="2"/>
  <c r="B89" i="55"/>
  <c r="A89" i="55"/>
  <c r="N89" i="55" s="1"/>
  <c r="R88" i="2"/>
  <c r="Q88" i="2"/>
  <c r="P88" i="2"/>
  <c r="O88" i="2"/>
  <c r="M88" i="2"/>
  <c r="L88" i="2"/>
  <c r="K88" i="2"/>
  <c r="J88" i="2"/>
  <c r="I88" i="2"/>
  <c r="H88" i="2"/>
  <c r="G88" i="2"/>
  <c r="F88" i="2"/>
  <c r="E88" i="2"/>
  <c r="B88" i="55"/>
  <c r="A88" i="55"/>
  <c r="N88" i="55" s="1"/>
  <c r="R87" i="2"/>
  <c r="Q87" i="2"/>
  <c r="P87" i="2"/>
  <c r="O87" i="2"/>
  <c r="M87" i="2"/>
  <c r="L87" i="2"/>
  <c r="K87" i="2"/>
  <c r="J87" i="2"/>
  <c r="I87" i="2"/>
  <c r="H87" i="2"/>
  <c r="G87" i="2"/>
  <c r="F87" i="2"/>
  <c r="E87" i="2"/>
  <c r="B87" i="55"/>
  <c r="A87" i="55"/>
  <c r="N87" i="55" s="1"/>
  <c r="R86" i="2"/>
  <c r="Q86" i="2"/>
  <c r="P86" i="2"/>
  <c r="O86" i="2"/>
  <c r="M86" i="2"/>
  <c r="L86" i="2"/>
  <c r="K86" i="2"/>
  <c r="J86" i="2"/>
  <c r="I86" i="2"/>
  <c r="H86" i="2"/>
  <c r="G86" i="2"/>
  <c r="F86" i="2"/>
  <c r="E86" i="2"/>
  <c r="B86" i="55"/>
  <c r="A86" i="55"/>
  <c r="N86" i="55" s="1"/>
  <c r="R85" i="2"/>
  <c r="Q85" i="2"/>
  <c r="P85" i="2"/>
  <c r="O85" i="2"/>
  <c r="M85" i="2"/>
  <c r="L85" i="2"/>
  <c r="K85" i="2"/>
  <c r="J85" i="2"/>
  <c r="I85" i="2"/>
  <c r="H85" i="2"/>
  <c r="G85" i="2"/>
  <c r="F85" i="2"/>
  <c r="E85" i="2"/>
  <c r="B85" i="55"/>
  <c r="A85" i="55"/>
  <c r="N85" i="55" s="1"/>
  <c r="R84" i="2"/>
  <c r="Q84" i="2"/>
  <c r="P84" i="2"/>
  <c r="O84" i="2"/>
  <c r="M84" i="2"/>
  <c r="L84" i="2"/>
  <c r="K84" i="2"/>
  <c r="J84" i="2"/>
  <c r="I84" i="2"/>
  <c r="H84" i="2"/>
  <c r="G84" i="2"/>
  <c r="F84" i="2"/>
  <c r="E84" i="2"/>
  <c r="B84" i="55"/>
  <c r="A84" i="55"/>
  <c r="N84" i="55" s="1"/>
  <c r="R83" i="2"/>
  <c r="Q83" i="2"/>
  <c r="P83" i="2"/>
  <c r="O83" i="2"/>
  <c r="M83" i="2"/>
  <c r="L83" i="2"/>
  <c r="K83" i="2"/>
  <c r="J83" i="2"/>
  <c r="I83" i="2"/>
  <c r="H83" i="2"/>
  <c r="G83" i="2"/>
  <c r="F83" i="2"/>
  <c r="E83" i="2"/>
  <c r="B83" i="55"/>
  <c r="A83" i="55"/>
  <c r="N83" i="55" s="1"/>
  <c r="R82" i="2"/>
  <c r="Q82" i="2"/>
  <c r="P82" i="2"/>
  <c r="O82" i="2"/>
  <c r="M82" i="2"/>
  <c r="L82" i="2"/>
  <c r="K82" i="2"/>
  <c r="J82" i="2"/>
  <c r="I82" i="2"/>
  <c r="H82" i="2"/>
  <c r="G82" i="2"/>
  <c r="F82" i="2"/>
  <c r="E82" i="2"/>
  <c r="B82" i="55"/>
  <c r="A82" i="55"/>
  <c r="N82" i="55" s="1"/>
  <c r="R81" i="2"/>
  <c r="Q81" i="2"/>
  <c r="P81" i="2"/>
  <c r="O81" i="2"/>
  <c r="M81" i="2"/>
  <c r="L81" i="2"/>
  <c r="K81" i="2"/>
  <c r="J81" i="2"/>
  <c r="I81" i="2"/>
  <c r="H81" i="2"/>
  <c r="G81" i="2"/>
  <c r="F81" i="2"/>
  <c r="E81" i="2"/>
  <c r="B81" i="55"/>
  <c r="A81" i="55"/>
  <c r="N81" i="55" s="1"/>
  <c r="R80" i="2"/>
  <c r="Q80" i="2"/>
  <c r="P80" i="2"/>
  <c r="O80" i="2"/>
  <c r="M80" i="2"/>
  <c r="L80" i="2"/>
  <c r="K80" i="2"/>
  <c r="J80" i="2"/>
  <c r="I80" i="2"/>
  <c r="H80" i="2"/>
  <c r="G80" i="2"/>
  <c r="F80" i="2"/>
  <c r="E80" i="2"/>
  <c r="B80" i="55"/>
  <c r="A80" i="55"/>
  <c r="N80" i="55" s="1"/>
  <c r="R79" i="2"/>
  <c r="Q79" i="2"/>
  <c r="P79" i="2"/>
  <c r="O79" i="2"/>
  <c r="M79" i="2"/>
  <c r="L79" i="2"/>
  <c r="K79" i="2"/>
  <c r="J79" i="2"/>
  <c r="I79" i="2"/>
  <c r="H79" i="2"/>
  <c r="G79" i="2"/>
  <c r="F79" i="2"/>
  <c r="E79" i="2"/>
  <c r="B79" i="55"/>
  <c r="A79" i="55"/>
  <c r="N79" i="55" s="1"/>
  <c r="R78" i="2"/>
  <c r="Q78" i="2"/>
  <c r="P78" i="2"/>
  <c r="O78" i="2"/>
  <c r="M78" i="2"/>
  <c r="L78" i="2"/>
  <c r="K78" i="2"/>
  <c r="J78" i="2"/>
  <c r="I78" i="2"/>
  <c r="H78" i="2"/>
  <c r="G78" i="2"/>
  <c r="F78" i="2"/>
  <c r="E78" i="2"/>
  <c r="B78" i="55"/>
  <c r="A78" i="55"/>
  <c r="N78" i="55" s="1"/>
  <c r="R77" i="2"/>
  <c r="Q77" i="2"/>
  <c r="P77" i="2"/>
  <c r="O77" i="2"/>
  <c r="M77" i="2"/>
  <c r="L77" i="2"/>
  <c r="K77" i="2"/>
  <c r="J77" i="2"/>
  <c r="I77" i="2"/>
  <c r="H77" i="2"/>
  <c r="G77" i="2"/>
  <c r="F77" i="2"/>
  <c r="E77" i="2"/>
  <c r="B77" i="55"/>
  <c r="A77" i="55"/>
  <c r="N77" i="55" s="1"/>
  <c r="R76" i="2"/>
  <c r="Q76" i="2"/>
  <c r="P76" i="2"/>
  <c r="O76" i="2"/>
  <c r="M76" i="2"/>
  <c r="L76" i="2"/>
  <c r="K76" i="2"/>
  <c r="J76" i="2"/>
  <c r="I76" i="2"/>
  <c r="H76" i="2"/>
  <c r="G76" i="2"/>
  <c r="F76" i="2"/>
  <c r="E76" i="2"/>
  <c r="B76" i="55"/>
  <c r="A76" i="55"/>
  <c r="N76" i="55" s="1"/>
  <c r="R75" i="2"/>
  <c r="Q75" i="2"/>
  <c r="P75" i="2"/>
  <c r="O75" i="2"/>
  <c r="M75" i="2"/>
  <c r="L75" i="2"/>
  <c r="K75" i="2"/>
  <c r="J75" i="2"/>
  <c r="I75" i="2"/>
  <c r="H75" i="2"/>
  <c r="G75" i="2"/>
  <c r="F75" i="2"/>
  <c r="E75" i="2"/>
  <c r="B75" i="55"/>
  <c r="A75" i="55"/>
  <c r="N75" i="55" s="1"/>
  <c r="R74" i="2"/>
  <c r="Q74" i="2"/>
  <c r="P74" i="2"/>
  <c r="O74" i="2"/>
  <c r="M74" i="2"/>
  <c r="L74" i="2"/>
  <c r="K74" i="2"/>
  <c r="J74" i="2"/>
  <c r="I74" i="2"/>
  <c r="H74" i="2"/>
  <c r="G74" i="2"/>
  <c r="F74" i="2"/>
  <c r="E74" i="2"/>
  <c r="B74" i="55"/>
  <c r="A74" i="55"/>
  <c r="N74" i="55" s="1"/>
  <c r="R73" i="2"/>
  <c r="Q73" i="2"/>
  <c r="P73" i="2"/>
  <c r="O73" i="2"/>
  <c r="M73" i="2"/>
  <c r="L73" i="2"/>
  <c r="K73" i="2"/>
  <c r="J73" i="2"/>
  <c r="I73" i="2"/>
  <c r="H73" i="2"/>
  <c r="G73" i="2"/>
  <c r="F73" i="2"/>
  <c r="E73" i="2"/>
  <c r="B73" i="55"/>
  <c r="A73" i="55"/>
  <c r="N73" i="55" s="1"/>
  <c r="R72" i="2"/>
  <c r="Q72" i="2"/>
  <c r="P72" i="2"/>
  <c r="O72" i="2"/>
  <c r="M72" i="2"/>
  <c r="L72" i="2"/>
  <c r="K72" i="2"/>
  <c r="J72" i="2"/>
  <c r="I72" i="2"/>
  <c r="H72" i="2"/>
  <c r="G72" i="2"/>
  <c r="F72" i="2"/>
  <c r="E72" i="2"/>
  <c r="B72" i="55"/>
  <c r="A72" i="55"/>
  <c r="N72" i="55" s="1"/>
  <c r="R71" i="2"/>
  <c r="Q71" i="2"/>
  <c r="P71" i="2"/>
  <c r="O71" i="2"/>
  <c r="M71" i="2"/>
  <c r="L71" i="2"/>
  <c r="K71" i="2"/>
  <c r="J71" i="2"/>
  <c r="I71" i="2"/>
  <c r="H71" i="2"/>
  <c r="G71" i="2"/>
  <c r="F71" i="2"/>
  <c r="E71" i="2"/>
  <c r="B71" i="55"/>
  <c r="A71" i="55"/>
  <c r="N71" i="55" s="1"/>
  <c r="R70" i="2"/>
  <c r="Q70" i="2"/>
  <c r="P70" i="2"/>
  <c r="O70" i="2"/>
  <c r="M70" i="2"/>
  <c r="L70" i="2"/>
  <c r="K70" i="2"/>
  <c r="J70" i="2"/>
  <c r="I70" i="2"/>
  <c r="H70" i="2"/>
  <c r="G70" i="2"/>
  <c r="F70" i="2"/>
  <c r="E70" i="2"/>
  <c r="B70" i="55"/>
  <c r="A70" i="55"/>
  <c r="N70" i="55" s="1"/>
  <c r="R69" i="2"/>
  <c r="Q69" i="2"/>
  <c r="P69" i="2"/>
  <c r="O69" i="2"/>
  <c r="M69" i="2"/>
  <c r="L69" i="2"/>
  <c r="K69" i="2"/>
  <c r="J69" i="2"/>
  <c r="I69" i="2"/>
  <c r="H69" i="2"/>
  <c r="G69" i="2"/>
  <c r="F69" i="2"/>
  <c r="E69" i="2"/>
  <c r="B69" i="55"/>
  <c r="A69" i="55"/>
  <c r="N69" i="55" s="1"/>
  <c r="R68" i="2"/>
  <c r="Q68" i="2"/>
  <c r="P68" i="2"/>
  <c r="O68" i="2"/>
  <c r="M68" i="2"/>
  <c r="L68" i="2"/>
  <c r="K68" i="2"/>
  <c r="J68" i="2"/>
  <c r="I68" i="2"/>
  <c r="H68" i="2"/>
  <c r="G68" i="2"/>
  <c r="F68" i="2"/>
  <c r="E68" i="2"/>
  <c r="B68" i="55"/>
  <c r="A68" i="55"/>
  <c r="N68" i="55" s="1"/>
  <c r="R67" i="2"/>
  <c r="Q67" i="2"/>
  <c r="P67" i="2"/>
  <c r="O67" i="2"/>
  <c r="M67" i="2"/>
  <c r="L67" i="2"/>
  <c r="K67" i="2"/>
  <c r="J67" i="2"/>
  <c r="I67" i="2"/>
  <c r="H67" i="2"/>
  <c r="G67" i="2"/>
  <c r="F67" i="2"/>
  <c r="E67" i="2"/>
  <c r="B67" i="55"/>
  <c r="A67" i="55"/>
  <c r="N67" i="55" s="1"/>
  <c r="R66" i="2"/>
  <c r="Q66" i="2"/>
  <c r="P66" i="2"/>
  <c r="O66" i="2"/>
  <c r="M66" i="2"/>
  <c r="L66" i="2"/>
  <c r="K66" i="2"/>
  <c r="J66" i="2"/>
  <c r="I66" i="2"/>
  <c r="H66" i="2"/>
  <c r="G66" i="2"/>
  <c r="F66" i="2"/>
  <c r="E66" i="2"/>
  <c r="B66" i="55"/>
  <c r="A66" i="55"/>
  <c r="N66" i="55" s="1"/>
  <c r="R65" i="2"/>
  <c r="Q65" i="2"/>
  <c r="P65" i="2"/>
  <c r="O65" i="2"/>
  <c r="M65" i="2"/>
  <c r="L65" i="2"/>
  <c r="K65" i="2"/>
  <c r="J65" i="2"/>
  <c r="I65" i="2"/>
  <c r="H65" i="2"/>
  <c r="G65" i="2"/>
  <c r="F65" i="2"/>
  <c r="E65" i="2"/>
  <c r="B65" i="55"/>
  <c r="A65" i="55"/>
  <c r="N65" i="55" s="1"/>
  <c r="R64" i="2"/>
  <c r="Q64" i="2"/>
  <c r="P64" i="2"/>
  <c r="O64" i="2"/>
  <c r="M64" i="2"/>
  <c r="L64" i="2"/>
  <c r="K64" i="2"/>
  <c r="J64" i="2"/>
  <c r="I64" i="2"/>
  <c r="H64" i="2"/>
  <c r="G64" i="2"/>
  <c r="F64" i="2"/>
  <c r="E64" i="2"/>
  <c r="B64" i="55"/>
  <c r="A64" i="55"/>
  <c r="N64" i="55" s="1"/>
  <c r="R63" i="2"/>
  <c r="Q63" i="2"/>
  <c r="P63" i="2"/>
  <c r="O63" i="2"/>
  <c r="M63" i="2"/>
  <c r="L63" i="2"/>
  <c r="K63" i="2"/>
  <c r="J63" i="2"/>
  <c r="I63" i="2"/>
  <c r="H63" i="2"/>
  <c r="G63" i="2"/>
  <c r="F63" i="2"/>
  <c r="E63" i="2"/>
  <c r="B63" i="55"/>
  <c r="A63" i="55"/>
  <c r="N63" i="55" s="1"/>
  <c r="R62" i="2"/>
  <c r="Q62" i="2"/>
  <c r="P62" i="2"/>
  <c r="O62" i="2"/>
  <c r="M62" i="2"/>
  <c r="L62" i="2"/>
  <c r="K62" i="2"/>
  <c r="J62" i="2"/>
  <c r="I62" i="2"/>
  <c r="H62" i="2"/>
  <c r="G62" i="2"/>
  <c r="F62" i="2"/>
  <c r="E62" i="2"/>
  <c r="B62" i="55"/>
  <c r="A62" i="55"/>
  <c r="N62" i="55" s="1"/>
  <c r="R61" i="2"/>
  <c r="Q61" i="2"/>
  <c r="P61" i="2"/>
  <c r="O61" i="2"/>
  <c r="M61" i="2"/>
  <c r="L61" i="2"/>
  <c r="K61" i="2"/>
  <c r="J61" i="2"/>
  <c r="I61" i="2"/>
  <c r="H61" i="2"/>
  <c r="G61" i="2"/>
  <c r="F61" i="2"/>
  <c r="E61" i="2"/>
  <c r="B61" i="55"/>
  <c r="A61" i="55"/>
  <c r="N61" i="55" s="1"/>
  <c r="R60" i="2"/>
  <c r="Q60" i="2"/>
  <c r="P60" i="2"/>
  <c r="O60" i="2"/>
  <c r="M60" i="2"/>
  <c r="L60" i="2"/>
  <c r="K60" i="2"/>
  <c r="J60" i="2"/>
  <c r="I60" i="2"/>
  <c r="H60" i="2"/>
  <c r="G60" i="2"/>
  <c r="F60" i="2"/>
  <c r="E60" i="2"/>
  <c r="B60" i="55"/>
  <c r="A60" i="55"/>
  <c r="N60" i="55" s="1"/>
  <c r="R59" i="2"/>
  <c r="Q59" i="2"/>
  <c r="P59" i="2"/>
  <c r="O59" i="2"/>
  <c r="M59" i="2"/>
  <c r="L59" i="2"/>
  <c r="K59" i="2"/>
  <c r="J59" i="2"/>
  <c r="I59" i="2"/>
  <c r="H59" i="2"/>
  <c r="G59" i="2"/>
  <c r="F59" i="2"/>
  <c r="E59" i="2"/>
  <c r="B59" i="55"/>
  <c r="A59" i="55"/>
  <c r="N59" i="55" s="1"/>
  <c r="R58" i="2"/>
  <c r="Q58" i="2"/>
  <c r="P58" i="2"/>
  <c r="O58" i="2"/>
  <c r="M58" i="2"/>
  <c r="L58" i="2"/>
  <c r="K58" i="2"/>
  <c r="J58" i="2"/>
  <c r="I58" i="2"/>
  <c r="H58" i="2"/>
  <c r="G58" i="2"/>
  <c r="F58" i="2"/>
  <c r="E58" i="2"/>
  <c r="B58" i="55"/>
  <c r="A58" i="55"/>
  <c r="N58" i="55" s="1"/>
  <c r="R57" i="2"/>
  <c r="Q57" i="2"/>
  <c r="P57" i="2"/>
  <c r="O57" i="2"/>
  <c r="M57" i="2"/>
  <c r="L57" i="2"/>
  <c r="K57" i="2"/>
  <c r="J57" i="2"/>
  <c r="I57" i="2"/>
  <c r="H57" i="2"/>
  <c r="G57" i="2"/>
  <c r="F57" i="2"/>
  <c r="E57" i="2"/>
  <c r="B57" i="55"/>
  <c r="A57" i="55"/>
  <c r="N57" i="55" s="1"/>
  <c r="R56" i="2"/>
  <c r="Q56" i="2"/>
  <c r="P56" i="2"/>
  <c r="O56" i="2"/>
  <c r="M56" i="2"/>
  <c r="L56" i="2"/>
  <c r="K56" i="2"/>
  <c r="J56" i="2"/>
  <c r="I56" i="2"/>
  <c r="H56" i="2"/>
  <c r="G56" i="2"/>
  <c r="F56" i="2"/>
  <c r="E56" i="2"/>
  <c r="B56" i="55"/>
  <c r="A56" i="55"/>
  <c r="N56" i="55" s="1"/>
  <c r="R55" i="2"/>
  <c r="Q55" i="2"/>
  <c r="P55" i="2"/>
  <c r="O55" i="2"/>
  <c r="M55" i="2"/>
  <c r="L55" i="2"/>
  <c r="K55" i="2"/>
  <c r="J55" i="2"/>
  <c r="I55" i="2"/>
  <c r="H55" i="2"/>
  <c r="G55" i="2"/>
  <c r="F55" i="2"/>
  <c r="E55" i="2"/>
  <c r="B55" i="55"/>
  <c r="A55" i="55"/>
  <c r="N55" i="55" s="1"/>
  <c r="R54" i="2"/>
  <c r="Q54" i="2"/>
  <c r="P54" i="2"/>
  <c r="O54" i="2"/>
  <c r="M54" i="2"/>
  <c r="L54" i="2"/>
  <c r="K54" i="2"/>
  <c r="J54" i="2"/>
  <c r="I54" i="2"/>
  <c r="H54" i="2"/>
  <c r="G54" i="2"/>
  <c r="F54" i="2"/>
  <c r="E54" i="2"/>
  <c r="B54" i="55"/>
  <c r="A54" i="55"/>
  <c r="N54" i="55" s="1"/>
  <c r="R53" i="2"/>
  <c r="Q53" i="2"/>
  <c r="P53" i="2"/>
  <c r="O53" i="2"/>
  <c r="M53" i="2"/>
  <c r="L53" i="2"/>
  <c r="K53" i="2"/>
  <c r="J53" i="2"/>
  <c r="I53" i="2"/>
  <c r="H53" i="2"/>
  <c r="G53" i="2"/>
  <c r="F53" i="2"/>
  <c r="E53" i="2"/>
  <c r="B53" i="55"/>
  <c r="A53" i="55"/>
  <c r="N53" i="55" s="1"/>
  <c r="R52" i="2"/>
  <c r="Q52" i="2"/>
  <c r="P52" i="2"/>
  <c r="O52" i="2"/>
  <c r="M52" i="2"/>
  <c r="L52" i="2"/>
  <c r="K52" i="2"/>
  <c r="J52" i="2"/>
  <c r="I52" i="2"/>
  <c r="H52" i="2"/>
  <c r="G52" i="2"/>
  <c r="F52" i="2"/>
  <c r="E52" i="2"/>
  <c r="B52" i="55"/>
  <c r="A52" i="55"/>
  <c r="N52" i="55" s="1"/>
  <c r="R51" i="2"/>
  <c r="Q51" i="2"/>
  <c r="P51" i="2"/>
  <c r="O51" i="2"/>
  <c r="M51" i="2"/>
  <c r="L51" i="2"/>
  <c r="K51" i="2"/>
  <c r="J51" i="2"/>
  <c r="I51" i="2"/>
  <c r="H51" i="2"/>
  <c r="G51" i="2"/>
  <c r="F51" i="2"/>
  <c r="E51" i="2"/>
  <c r="B51" i="55"/>
  <c r="A51" i="55"/>
  <c r="N51" i="55" s="1"/>
  <c r="R50" i="2"/>
  <c r="Q50" i="2"/>
  <c r="P50" i="2"/>
  <c r="O50" i="2"/>
  <c r="M50" i="2"/>
  <c r="L50" i="2"/>
  <c r="K50" i="2"/>
  <c r="J50" i="2"/>
  <c r="I50" i="2"/>
  <c r="H50" i="2"/>
  <c r="G50" i="2"/>
  <c r="F50" i="2"/>
  <c r="E50" i="2"/>
  <c r="B50" i="55"/>
  <c r="A50" i="55"/>
  <c r="N50" i="55" s="1"/>
  <c r="R49" i="2"/>
  <c r="Q49" i="2"/>
  <c r="P49" i="2"/>
  <c r="O49" i="2"/>
  <c r="M49" i="2"/>
  <c r="L49" i="2"/>
  <c r="K49" i="2"/>
  <c r="J49" i="2"/>
  <c r="I49" i="2"/>
  <c r="H49" i="2"/>
  <c r="G49" i="2"/>
  <c r="F49" i="2"/>
  <c r="E49" i="2"/>
  <c r="B49" i="55"/>
  <c r="A49" i="55"/>
  <c r="N49" i="55" s="1"/>
  <c r="R48" i="2"/>
  <c r="Q48" i="2"/>
  <c r="P48" i="2"/>
  <c r="O48" i="2"/>
  <c r="M48" i="2"/>
  <c r="L48" i="2"/>
  <c r="K48" i="2"/>
  <c r="J48" i="2"/>
  <c r="I48" i="2"/>
  <c r="H48" i="2"/>
  <c r="G48" i="2"/>
  <c r="F48" i="2"/>
  <c r="E48" i="2"/>
  <c r="B48" i="55"/>
  <c r="A48" i="55"/>
  <c r="N48" i="55" s="1"/>
  <c r="R47" i="2"/>
  <c r="Q47" i="2"/>
  <c r="P47" i="2"/>
  <c r="O47" i="2"/>
  <c r="M47" i="2"/>
  <c r="L47" i="2"/>
  <c r="K47" i="2"/>
  <c r="J47" i="2"/>
  <c r="I47" i="2"/>
  <c r="H47" i="2"/>
  <c r="G47" i="2"/>
  <c r="F47" i="2"/>
  <c r="E47" i="2"/>
  <c r="B47" i="55"/>
  <c r="A47" i="55"/>
  <c r="N47" i="55" s="1"/>
  <c r="R46" i="2"/>
  <c r="Q46" i="2"/>
  <c r="P46" i="2"/>
  <c r="O46" i="2"/>
  <c r="M46" i="2"/>
  <c r="L46" i="2"/>
  <c r="K46" i="2"/>
  <c r="J46" i="2"/>
  <c r="I46" i="2"/>
  <c r="H46" i="2"/>
  <c r="G46" i="2"/>
  <c r="F46" i="2"/>
  <c r="E46" i="2"/>
  <c r="B46" i="55"/>
  <c r="A46" i="55"/>
  <c r="N46" i="55" s="1"/>
  <c r="R45" i="2"/>
  <c r="Q45" i="2"/>
  <c r="P45" i="2"/>
  <c r="O45" i="2"/>
  <c r="M45" i="2"/>
  <c r="L45" i="2"/>
  <c r="K45" i="2"/>
  <c r="J45" i="2"/>
  <c r="I45" i="2"/>
  <c r="H45" i="2"/>
  <c r="G45" i="2"/>
  <c r="F45" i="2"/>
  <c r="E45" i="2"/>
  <c r="B45" i="55"/>
  <c r="A45" i="55"/>
  <c r="N45" i="55" s="1"/>
  <c r="R44" i="2"/>
  <c r="Q44" i="2"/>
  <c r="P44" i="2"/>
  <c r="O44" i="2"/>
  <c r="M44" i="2"/>
  <c r="L44" i="2"/>
  <c r="K44" i="2"/>
  <c r="J44" i="2"/>
  <c r="I44" i="2"/>
  <c r="H44" i="2"/>
  <c r="G44" i="2"/>
  <c r="F44" i="2"/>
  <c r="E44" i="2"/>
  <c r="B44" i="55"/>
  <c r="A44" i="55"/>
  <c r="N44" i="55" s="1"/>
  <c r="R43" i="2"/>
  <c r="Q43" i="2"/>
  <c r="P43" i="2"/>
  <c r="O43" i="2"/>
  <c r="M43" i="2"/>
  <c r="L43" i="2"/>
  <c r="K43" i="2"/>
  <c r="J43" i="2"/>
  <c r="I43" i="2"/>
  <c r="H43" i="2"/>
  <c r="G43" i="2"/>
  <c r="F43" i="2"/>
  <c r="E43" i="2"/>
  <c r="B43" i="55"/>
  <c r="A43" i="55"/>
  <c r="N43" i="55" s="1"/>
  <c r="R42" i="2"/>
  <c r="Q42" i="2"/>
  <c r="P42" i="2"/>
  <c r="O42" i="2"/>
  <c r="M42" i="2"/>
  <c r="L42" i="2"/>
  <c r="K42" i="2"/>
  <c r="J42" i="2"/>
  <c r="I42" i="2"/>
  <c r="H42" i="2"/>
  <c r="G42" i="2"/>
  <c r="F42" i="2"/>
  <c r="E42" i="2"/>
  <c r="B42" i="55"/>
  <c r="A42" i="55"/>
  <c r="N42" i="55" s="1"/>
  <c r="R41" i="2"/>
  <c r="Q41" i="2"/>
  <c r="P41" i="2"/>
  <c r="O41" i="2"/>
  <c r="M41" i="2"/>
  <c r="L41" i="2"/>
  <c r="K41" i="2"/>
  <c r="J41" i="2"/>
  <c r="I41" i="2"/>
  <c r="H41" i="2"/>
  <c r="G41" i="2"/>
  <c r="F41" i="2"/>
  <c r="E41" i="2"/>
  <c r="B41" i="55"/>
  <c r="A41" i="55"/>
  <c r="N41" i="55" s="1"/>
  <c r="R40" i="2"/>
  <c r="Q40" i="2"/>
  <c r="P40" i="2"/>
  <c r="O40" i="2"/>
  <c r="M40" i="2"/>
  <c r="L40" i="2"/>
  <c r="K40" i="2"/>
  <c r="J40" i="2"/>
  <c r="I40" i="2"/>
  <c r="H40" i="2"/>
  <c r="G40" i="2"/>
  <c r="F40" i="2"/>
  <c r="E40" i="2"/>
  <c r="B40" i="55"/>
  <c r="A40" i="55"/>
  <c r="N40" i="55" s="1"/>
  <c r="R39" i="2"/>
  <c r="Q39" i="2"/>
  <c r="P39" i="2"/>
  <c r="O39" i="2"/>
  <c r="M39" i="2"/>
  <c r="L39" i="2"/>
  <c r="K39" i="2"/>
  <c r="J39" i="2"/>
  <c r="I39" i="2"/>
  <c r="H39" i="2"/>
  <c r="G39" i="2"/>
  <c r="F39" i="2"/>
  <c r="E39" i="2"/>
  <c r="B39" i="55"/>
  <c r="A39" i="55"/>
  <c r="N39" i="55" s="1"/>
  <c r="R38" i="2"/>
  <c r="Q38" i="2"/>
  <c r="P38" i="2"/>
  <c r="O38" i="2"/>
  <c r="M38" i="2"/>
  <c r="L38" i="2"/>
  <c r="K38" i="2"/>
  <c r="J38" i="2"/>
  <c r="I38" i="2"/>
  <c r="H38" i="2"/>
  <c r="G38" i="2"/>
  <c r="F38" i="2"/>
  <c r="E38" i="2"/>
  <c r="B38" i="55"/>
  <c r="A38" i="55"/>
  <c r="N38" i="55" s="1"/>
  <c r="R37" i="2"/>
  <c r="Q37" i="2"/>
  <c r="P37" i="2"/>
  <c r="O37" i="2"/>
  <c r="M37" i="2"/>
  <c r="L37" i="2"/>
  <c r="K37" i="2"/>
  <c r="J37" i="2"/>
  <c r="I37" i="2"/>
  <c r="H37" i="2"/>
  <c r="G37" i="2"/>
  <c r="F37" i="2"/>
  <c r="E37" i="2"/>
  <c r="B37" i="55"/>
  <c r="A37" i="55"/>
  <c r="N37" i="55" s="1"/>
  <c r="R36" i="2"/>
  <c r="Q36" i="2"/>
  <c r="P36" i="2"/>
  <c r="O36" i="2"/>
  <c r="M36" i="2"/>
  <c r="L36" i="2"/>
  <c r="K36" i="2"/>
  <c r="J36" i="2"/>
  <c r="I36" i="2"/>
  <c r="H36" i="2"/>
  <c r="G36" i="2"/>
  <c r="F36" i="2"/>
  <c r="E36" i="2"/>
  <c r="B36" i="55"/>
  <c r="A36" i="55"/>
  <c r="N36" i="55" s="1"/>
  <c r="R35" i="2"/>
  <c r="Q35" i="2"/>
  <c r="P35" i="2"/>
  <c r="O35" i="2"/>
  <c r="M35" i="2"/>
  <c r="L35" i="2"/>
  <c r="K35" i="2"/>
  <c r="J35" i="2"/>
  <c r="I35" i="2"/>
  <c r="H35" i="2"/>
  <c r="G35" i="2"/>
  <c r="F35" i="2"/>
  <c r="E35" i="2"/>
  <c r="B35" i="55"/>
  <c r="A35" i="55"/>
  <c r="N35" i="55" s="1"/>
  <c r="R34" i="2"/>
  <c r="Q34" i="2"/>
  <c r="P34" i="2"/>
  <c r="O34" i="2"/>
  <c r="M34" i="2"/>
  <c r="L34" i="2"/>
  <c r="K34" i="2"/>
  <c r="J34" i="2"/>
  <c r="I34" i="2"/>
  <c r="H34" i="2"/>
  <c r="G34" i="2"/>
  <c r="F34" i="2"/>
  <c r="E34" i="2"/>
  <c r="B34" i="55"/>
  <c r="A34" i="55"/>
  <c r="N34" i="55" s="1"/>
  <c r="R33" i="2"/>
  <c r="Q33" i="2"/>
  <c r="P33" i="2"/>
  <c r="O33" i="2"/>
  <c r="M33" i="2"/>
  <c r="L33" i="2"/>
  <c r="K33" i="2"/>
  <c r="J33" i="2"/>
  <c r="I33" i="2"/>
  <c r="H33" i="2"/>
  <c r="G33" i="2"/>
  <c r="F33" i="2"/>
  <c r="E33" i="2"/>
  <c r="B33" i="55"/>
  <c r="A33" i="55"/>
  <c r="N33" i="55" s="1"/>
  <c r="R32" i="2"/>
  <c r="Q32" i="2"/>
  <c r="P32" i="2"/>
  <c r="O32" i="2"/>
  <c r="M32" i="2"/>
  <c r="L32" i="2"/>
  <c r="K32" i="2"/>
  <c r="J32" i="2"/>
  <c r="I32" i="2"/>
  <c r="H32" i="2"/>
  <c r="G32" i="2"/>
  <c r="F32" i="2"/>
  <c r="E32" i="2"/>
  <c r="B32" i="55"/>
  <c r="A32" i="55"/>
  <c r="N32" i="55" s="1"/>
  <c r="R31" i="2"/>
  <c r="Q31" i="2"/>
  <c r="P31" i="2"/>
  <c r="O31" i="2"/>
  <c r="M31" i="2"/>
  <c r="L31" i="2"/>
  <c r="K31" i="2"/>
  <c r="J31" i="2"/>
  <c r="I31" i="2"/>
  <c r="H31" i="2"/>
  <c r="G31" i="2"/>
  <c r="F31" i="2"/>
  <c r="E31" i="2"/>
  <c r="B31" i="55"/>
  <c r="A31" i="55"/>
  <c r="N31" i="55" s="1"/>
  <c r="R30" i="2"/>
  <c r="Q30" i="2"/>
  <c r="P30" i="2"/>
  <c r="O30" i="2"/>
  <c r="M30" i="2"/>
  <c r="L30" i="2"/>
  <c r="K30" i="2"/>
  <c r="J30" i="2"/>
  <c r="I30" i="2"/>
  <c r="H30" i="2"/>
  <c r="G30" i="2"/>
  <c r="F30" i="2"/>
  <c r="E30" i="2"/>
  <c r="B30" i="55"/>
  <c r="A30" i="55"/>
  <c r="N30" i="55" s="1"/>
  <c r="R29" i="2"/>
  <c r="Q29" i="2"/>
  <c r="P29" i="2"/>
  <c r="O29" i="2"/>
  <c r="M29" i="2"/>
  <c r="L29" i="2"/>
  <c r="K29" i="2"/>
  <c r="J29" i="2"/>
  <c r="I29" i="2"/>
  <c r="H29" i="2"/>
  <c r="G29" i="2"/>
  <c r="F29" i="2"/>
  <c r="E29" i="2"/>
  <c r="B29" i="55"/>
  <c r="A29" i="55"/>
  <c r="N29" i="55" s="1"/>
  <c r="R28" i="2"/>
  <c r="Q28" i="2"/>
  <c r="P28" i="2"/>
  <c r="O28" i="2"/>
  <c r="M28" i="2"/>
  <c r="L28" i="2"/>
  <c r="K28" i="2"/>
  <c r="J28" i="2"/>
  <c r="I28" i="2"/>
  <c r="H28" i="2"/>
  <c r="G28" i="2"/>
  <c r="F28" i="2"/>
  <c r="E28" i="2"/>
  <c r="B28" i="55"/>
  <c r="A28" i="55"/>
  <c r="N28" i="55" s="1"/>
  <c r="R27" i="2"/>
  <c r="Q27" i="2"/>
  <c r="P27" i="2"/>
  <c r="O27" i="2"/>
  <c r="M27" i="2"/>
  <c r="L27" i="2"/>
  <c r="K27" i="2"/>
  <c r="J27" i="2"/>
  <c r="I27" i="2"/>
  <c r="H27" i="2"/>
  <c r="G27" i="2"/>
  <c r="F27" i="2"/>
  <c r="E27" i="2"/>
  <c r="B27" i="55"/>
  <c r="A27" i="55"/>
  <c r="N27" i="55" s="1"/>
  <c r="R26" i="2"/>
  <c r="Q26" i="2"/>
  <c r="P26" i="2"/>
  <c r="O26" i="2"/>
  <c r="M26" i="2"/>
  <c r="L26" i="2"/>
  <c r="K26" i="2"/>
  <c r="J26" i="2"/>
  <c r="I26" i="2"/>
  <c r="H26" i="2"/>
  <c r="G26" i="2"/>
  <c r="F26" i="2"/>
  <c r="E26" i="2"/>
  <c r="B26" i="55"/>
  <c r="A26" i="55"/>
  <c r="N26" i="55" s="1"/>
  <c r="R25" i="2"/>
  <c r="Q25" i="2"/>
  <c r="P25" i="2"/>
  <c r="O25" i="2"/>
  <c r="M25" i="2"/>
  <c r="L25" i="2"/>
  <c r="K25" i="2"/>
  <c r="J25" i="2"/>
  <c r="I25" i="2"/>
  <c r="H25" i="2"/>
  <c r="G25" i="2"/>
  <c r="F25" i="2"/>
  <c r="E25" i="2"/>
  <c r="B25" i="55"/>
  <c r="A25" i="55"/>
  <c r="N25" i="55" s="1"/>
  <c r="R24" i="2"/>
  <c r="Q24" i="2"/>
  <c r="P24" i="2"/>
  <c r="O24" i="2"/>
  <c r="M24" i="2"/>
  <c r="L24" i="2"/>
  <c r="K24" i="2"/>
  <c r="J24" i="2"/>
  <c r="I24" i="2"/>
  <c r="H24" i="2"/>
  <c r="G24" i="2"/>
  <c r="F24" i="2"/>
  <c r="E24" i="2"/>
  <c r="B24" i="55"/>
  <c r="A24" i="55"/>
  <c r="N24" i="55" s="1"/>
  <c r="R23" i="2"/>
  <c r="Q23" i="2"/>
  <c r="P23" i="2"/>
  <c r="O23" i="2"/>
  <c r="M23" i="2"/>
  <c r="L23" i="2"/>
  <c r="K23" i="2"/>
  <c r="J23" i="2"/>
  <c r="I23" i="2"/>
  <c r="H23" i="2"/>
  <c r="G23" i="2"/>
  <c r="F23" i="2"/>
  <c r="E23" i="2"/>
  <c r="B23" i="55"/>
  <c r="A23" i="55"/>
  <c r="N23" i="55" s="1"/>
  <c r="R22" i="2"/>
  <c r="Q22" i="2"/>
  <c r="P22" i="2"/>
  <c r="O22" i="2"/>
  <c r="M22" i="2"/>
  <c r="L22" i="2"/>
  <c r="K22" i="2"/>
  <c r="J22" i="2"/>
  <c r="I22" i="2"/>
  <c r="H22" i="2"/>
  <c r="G22" i="2"/>
  <c r="F22" i="2"/>
  <c r="E22" i="2"/>
  <c r="B22" i="55"/>
  <c r="A22" i="55"/>
  <c r="N22" i="55" s="1"/>
  <c r="R21" i="2"/>
  <c r="Q21" i="2"/>
  <c r="P21" i="2"/>
  <c r="O21" i="2"/>
  <c r="M21" i="2"/>
  <c r="L21" i="2"/>
  <c r="K21" i="2"/>
  <c r="J21" i="2"/>
  <c r="I21" i="2"/>
  <c r="H21" i="2"/>
  <c r="G21" i="2"/>
  <c r="F21" i="2"/>
  <c r="E21" i="2"/>
  <c r="B21" i="55"/>
  <c r="A21" i="55"/>
  <c r="N21" i="55" s="1"/>
  <c r="R20" i="2"/>
  <c r="Q20" i="2"/>
  <c r="P20" i="2"/>
  <c r="O20" i="2"/>
  <c r="M20" i="2"/>
  <c r="L20" i="2"/>
  <c r="K20" i="2"/>
  <c r="J20" i="2"/>
  <c r="I20" i="2"/>
  <c r="H20" i="2"/>
  <c r="G20" i="2"/>
  <c r="F20" i="2"/>
  <c r="E20" i="2"/>
  <c r="B20" i="55"/>
  <c r="A20" i="55"/>
  <c r="N20" i="55" s="1"/>
  <c r="R19" i="2"/>
  <c r="Q19" i="2"/>
  <c r="P19" i="2"/>
  <c r="O19" i="2"/>
  <c r="M19" i="2"/>
  <c r="L19" i="2"/>
  <c r="K19" i="2"/>
  <c r="J19" i="2"/>
  <c r="I19" i="2"/>
  <c r="H19" i="2"/>
  <c r="G19" i="2"/>
  <c r="F19" i="2"/>
  <c r="E19" i="2"/>
  <c r="B19" i="55"/>
  <c r="A19" i="55"/>
  <c r="N19" i="55" s="1"/>
  <c r="R18" i="2"/>
  <c r="Q18" i="2"/>
  <c r="P18" i="2"/>
  <c r="O18" i="2"/>
  <c r="M18" i="2"/>
  <c r="L18" i="2"/>
  <c r="K18" i="2"/>
  <c r="J18" i="2"/>
  <c r="I18" i="2"/>
  <c r="H18" i="2"/>
  <c r="G18" i="2"/>
  <c r="F18" i="2"/>
  <c r="E18" i="2"/>
  <c r="B18" i="55"/>
  <c r="A18" i="55"/>
  <c r="N18" i="55" s="1"/>
  <c r="R17" i="2"/>
  <c r="Q17" i="2"/>
  <c r="P17" i="2"/>
  <c r="O17" i="2"/>
  <c r="M17" i="2"/>
  <c r="L17" i="2"/>
  <c r="K17" i="2"/>
  <c r="J17" i="2"/>
  <c r="I17" i="2"/>
  <c r="H17" i="2"/>
  <c r="G17" i="2"/>
  <c r="F17" i="2"/>
  <c r="E17" i="2"/>
  <c r="B17" i="55"/>
  <c r="A17" i="55"/>
  <c r="N17" i="55" s="1"/>
  <c r="R16" i="2"/>
  <c r="Q16" i="2"/>
  <c r="P16" i="2"/>
  <c r="O16" i="2"/>
  <c r="M16" i="2"/>
  <c r="L16" i="2"/>
  <c r="K16" i="2"/>
  <c r="J16" i="2"/>
  <c r="I16" i="2"/>
  <c r="H16" i="2"/>
  <c r="G16" i="2"/>
  <c r="F16" i="2"/>
  <c r="E16" i="2"/>
  <c r="B16" i="55"/>
  <c r="A16" i="55"/>
  <c r="N16" i="55" s="1"/>
  <c r="R15" i="2"/>
  <c r="Q15" i="2"/>
  <c r="P15" i="2"/>
  <c r="O15" i="2"/>
  <c r="M15" i="2"/>
  <c r="L15" i="2"/>
  <c r="K15" i="2"/>
  <c r="J15" i="2"/>
  <c r="I15" i="2"/>
  <c r="H15" i="2"/>
  <c r="G15" i="2"/>
  <c r="F15" i="2"/>
  <c r="E15" i="2"/>
  <c r="B15" i="55"/>
  <c r="A15" i="55"/>
  <c r="N15" i="55" s="1"/>
  <c r="R14" i="2"/>
  <c r="Q14" i="2"/>
  <c r="P14" i="2"/>
  <c r="O14" i="2"/>
  <c r="M14" i="2"/>
  <c r="L14" i="2"/>
  <c r="K14" i="2"/>
  <c r="J14" i="2"/>
  <c r="I14" i="2"/>
  <c r="H14" i="2"/>
  <c r="G14" i="2"/>
  <c r="F14" i="2"/>
  <c r="E14" i="2"/>
  <c r="B14" i="55"/>
  <c r="A14" i="55"/>
  <c r="N14" i="55" s="1"/>
  <c r="R13" i="2"/>
  <c r="Q13" i="2"/>
  <c r="P13" i="2"/>
  <c r="O13" i="2"/>
  <c r="M13" i="2"/>
  <c r="L13" i="2"/>
  <c r="K13" i="2"/>
  <c r="J13" i="2"/>
  <c r="I13" i="2"/>
  <c r="H13" i="2"/>
  <c r="G13" i="2"/>
  <c r="F13" i="2"/>
  <c r="E13" i="2"/>
  <c r="B13" i="55"/>
  <c r="A13" i="55"/>
  <c r="N13" i="55" s="1"/>
  <c r="R12" i="2"/>
  <c r="Q12" i="2"/>
  <c r="P12" i="2"/>
  <c r="O12" i="2"/>
  <c r="M12" i="2"/>
  <c r="L12" i="2"/>
  <c r="K12" i="2"/>
  <c r="J12" i="2"/>
  <c r="I12" i="2"/>
  <c r="H12" i="2"/>
  <c r="G12" i="2"/>
  <c r="F12" i="2"/>
  <c r="E12" i="2"/>
  <c r="B12" i="55"/>
  <c r="A12" i="55"/>
  <c r="N12" i="55" s="1"/>
  <c r="R11" i="2"/>
  <c r="Q11" i="2"/>
  <c r="P11" i="2"/>
  <c r="O11" i="2"/>
  <c r="M11" i="2"/>
  <c r="L11" i="2"/>
  <c r="K11" i="2"/>
  <c r="J11" i="2"/>
  <c r="I11" i="2"/>
  <c r="H11" i="2"/>
  <c r="G11" i="2"/>
  <c r="F11" i="2"/>
  <c r="E11" i="2"/>
  <c r="B11" i="55"/>
  <c r="A11" i="55"/>
  <c r="N11" i="55" s="1"/>
  <c r="R10" i="2"/>
  <c r="Q10" i="2"/>
  <c r="P10" i="2"/>
  <c r="O10" i="2"/>
  <c r="M10" i="2"/>
  <c r="L10" i="2"/>
  <c r="K10" i="2"/>
  <c r="J10" i="2"/>
  <c r="I10" i="2"/>
  <c r="H10" i="2"/>
  <c r="G10" i="2"/>
  <c r="F10" i="2"/>
  <c r="E10" i="2"/>
  <c r="B10" i="55"/>
  <c r="A10" i="55"/>
  <c r="N10" i="55" s="1"/>
  <c r="R9" i="2"/>
  <c r="Q9" i="2"/>
  <c r="P9" i="2"/>
  <c r="O9" i="2"/>
  <c r="M9" i="2"/>
  <c r="L9" i="2"/>
  <c r="K9" i="2"/>
  <c r="J9" i="2"/>
  <c r="I9" i="2"/>
  <c r="H9" i="2"/>
  <c r="G9" i="2"/>
  <c r="F9" i="2"/>
  <c r="E9" i="2"/>
  <c r="B9" i="55"/>
  <c r="A9" i="55"/>
  <c r="N9" i="55" s="1"/>
  <c r="R8" i="2"/>
  <c r="Q8" i="2"/>
  <c r="P8" i="2"/>
  <c r="O8" i="2"/>
  <c r="M8" i="2"/>
  <c r="L8" i="2"/>
  <c r="K8" i="2"/>
  <c r="J8" i="2"/>
  <c r="I8" i="2"/>
  <c r="H8" i="2"/>
  <c r="G8" i="2"/>
  <c r="F8" i="2"/>
  <c r="E8" i="2"/>
  <c r="B8" i="55"/>
  <c r="A8" i="55"/>
  <c r="R6" i="53"/>
  <c r="Q6" i="53"/>
  <c r="P6" i="53"/>
  <c r="O6" i="53"/>
  <c r="N6" i="53"/>
  <c r="M6" i="53"/>
  <c r="L6" i="53"/>
  <c r="K6" i="53"/>
  <c r="J6" i="53"/>
  <c r="I6" i="53"/>
  <c r="H6" i="53"/>
  <c r="G6" i="53"/>
  <c r="F6" i="53"/>
  <c r="E6" i="53"/>
  <c r="D6" i="53"/>
  <c r="L36" i="45" l="1"/>
  <c r="E19" i="57"/>
  <c r="H19" i="57" s="1"/>
  <c r="N8" i="55"/>
  <c r="N308" i="55" s="1"/>
  <c r="A8" i="29"/>
  <c r="A8" i="21"/>
  <c r="A8" i="9"/>
  <c r="B32" i="29"/>
  <c r="B32" i="21"/>
  <c r="B32" i="9"/>
  <c r="B48" i="29"/>
  <c r="B48" i="21"/>
  <c r="B48" i="9"/>
  <c r="B96" i="29"/>
  <c r="B96" i="21"/>
  <c r="B96" i="9"/>
  <c r="B100" i="29"/>
  <c r="B100" i="21"/>
  <c r="B100" i="9"/>
  <c r="B116" i="29"/>
  <c r="B116" i="21"/>
  <c r="B116" i="9"/>
  <c r="B144" i="29"/>
  <c r="B144" i="9"/>
  <c r="B144" i="21"/>
  <c r="B148" i="29"/>
  <c r="B148" i="21"/>
  <c r="B148" i="9"/>
  <c r="B152" i="29"/>
  <c r="B152" i="21"/>
  <c r="B152" i="9"/>
  <c r="B168" i="29"/>
  <c r="B168" i="21"/>
  <c r="B168" i="9"/>
  <c r="B180" i="29"/>
  <c r="B180" i="21"/>
  <c r="B180" i="9"/>
  <c r="B184" i="29"/>
  <c r="B184" i="21"/>
  <c r="B184" i="9"/>
  <c r="B192" i="29"/>
  <c r="B192" i="21"/>
  <c r="B192" i="9"/>
  <c r="B204" i="29"/>
  <c r="B204" i="21"/>
  <c r="B204" i="9"/>
  <c r="B212" i="29"/>
  <c r="B212" i="21"/>
  <c r="B212" i="9"/>
  <c r="B224" i="29"/>
  <c r="B224" i="21"/>
  <c r="B224" i="9"/>
  <c r="B228" i="29"/>
  <c r="B228" i="21"/>
  <c r="B228" i="9"/>
  <c r="B232" i="29"/>
  <c r="B232" i="21"/>
  <c r="B232" i="9"/>
  <c r="B236" i="29"/>
  <c r="B236" i="21"/>
  <c r="B236" i="9"/>
  <c r="B240" i="29"/>
  <c r="B240" i="21"/>
  <c r="B240" i="9"/>
  <c r="B244" i="29"/>
  <c r="B244" i="21"/>
  <c r="B244" i="9"/>
  <c r="B248" i="29"/>
  <c r="B248" i="21"/>
  <c r="B248" i="9"/>
  <c r="B252" i="29"/>
  <c r="B252" i="21"/>
  <c r="B252" i="9"/>
  <c r="B256" i="29"/>
  <c r="B256" i="21"/>
  <c r="B256" i="9"/>
  <c r="B260" i="29"/>
  <c r="B260" i="21"/>
  <c r="B260" i="9"/>
  <c r="B264" i="29"/>
  <c r="B264" i="21"/>
  <c r="B264" i="9"/>
  <c r="B268" i="29"/>
  <c r="B268" i="21"/>
  <c r="B268" i="9"/>
  <c r="B272" i="29"/>
  <c r="B272" i="21"/>
  <c r="B272" i="9"/>
  <c r="B276" i="29"/>
  <c r="B276" i="21"/>
  <c r="B276" i="9"/>
  <c r="B280" i="29"/>
  <c r="B280" i="21"/>
  <c r="B280" i="9"/>
  <c r="B284" i="29"/>
  <c r="B284" i="21"/>
  <c r="B284" i="9"/>
  <c r="B288" i="29"/>
  <c r="B288" i="21"/>
  <c r="B288" i="9"/>
  <c r="B292" i="29"/>
  <c r="B292" i="21"/>
  <c r="B292" i="9"/>
  <c r="B296" i="29"/>
  <c r="B296" i="21"/>
  <c r="B296" i="9"/>
  <c r="B300" i="29"/>
  <c r="B300" i="21"/>
  <c r="B300" i="9"/>
  <c r="B304" i="29"/>
  <c r="B304" i="21"/>
  <c r="B304" i="9"/>
  <c r="B20" i="29"/>
  <c r="B20" i="21"/>
  <c r="B20" i="9"/>
  <c r="B56" i="29"/>
  <c r="B56" i="9"/>
  <c r="B56" i="21"/>
  <c r="B68" i="21"/>
  <c r="B68" i="9"/>
  <c r="B68" i="29"/>
  <c r="B80" i="29"/>
  <c r="B80" i="21"/>
  <c r="B80" i="9"/>
  <c r="B104" i="29"/>
  <c r="B104" i="21"/>
  <c r="B104" i="9"/>
  <c r="B120" i="29"/>
  <c r="B120" i="21"/>
  <c r="B120" i="9"/>
  <c r="B128" i="29"/>
  <c r="B128" i="9"/>
  <c r="B128" i="21"/>
  <c r="B136" i="29"/>
  <c r="B136" i="21"/>
  <c r="B136" i="9"/>
  <c r="B160" i="29"/>
  <c r="B160" i="21"/>
  <c r="B160" i="9"/>
  <c r="B164" i="29"/>
  <c r="B164" i="21"/>
  <c r="B164" i="9"/>
  <c r="B188" i="29"/>
  <c r="B188" i="21"/>
  <c r="B188" i="9"/>
  <c r="B196" i="29"/>
  <c r="B196" i="21"/>
  <c r="B196" i="9"/>
  <c r="B208" i="29"/>
  <c r="B208" i="21"/>
  <c r="B208" i="9"/>
  <c r="B220" i="29"/>
  <c r="B220" i="21"/>
  <c r="B220" i="9"/>
  <c r="B8" i="21"/>
  <c r="B8" i="29"/>
  <c r="B8" i="9"/>
  <c r="A9" i="29"/>
  <c r="A9" i="21"/>
  <c r="A9" i="9"/>
  <c r="C12" i="29"/>
  <c r="C12" i="9"/>
  <c r="C12" i="21"/>
  <c r="A13" i="29"/>
  <c r="A13" i="21"/>
  <c r="A13" i="9"/>
  <c r="C16" i="29"/>
  <c r="C16" i="21"/>
  <c r="C16" i="9"/>
  <c r="A17" i="29"/>
  <c r="A17" i="21"/>
  <c r="A17" i="9"/>
  <c r="C20" i="29"/>
  <c r="C20" i="9"/>
  <c r="C20" i="21"/>
  <c r="A21" i="29"/>
  <c r="A21" i="21"/>
  <c r="A21" i="9"/>
  <c r="C24" i="29"/>
  <c r="C24" i="21"/>
  <c r="C24" i="9"/>
  <c r="A25" i="29"/>
  <c r="A25" i="21"/>
  <c r="A25" i="9"/>
  <c r="C28" i="29"/>
  <c r="C28" i="9"/>
  <c r="C28" i="21"/>
  <c r="A29" i="29"/>
  <c r="A29" i="21"/>
  <c r="A29" i="9"/>
  <c r="C32" i="29"/>
  <c r="C32" i="21"/>
  <c r="C32" i="9"/>
  <c r="A33" i="29"/>
  <c r="A33" i="21"/>
  <c r="A33" i="9"/>
  <c r="C36" i="29"/>
  <c r="C36" i="9"/>
  <c r="C36" i="21"/>
  <c r="A37" i="29"/>
  <c r="A37" i="21"/>
  <c r="A37" i="9"/>
  <c r="C40" i="29"/>
  <c r="C40" i="21"/>
  <c r="C40" i="9"/>
  <c r="A41" i="29"/>
  <c r="A41" i="21"/>
  <c r="A41" i="9"/>
  <c r="C44" i="29"/>
  <c r="C44" i="21"/>
  <c r="C44" i="9"/>
  <c r="A45" i="29"/>
  <c r="A45" i="21"/>
  <c r="A45" i="9"/>
  <c r="C48" i="29"/>
  <c r="C48" i="21"/>
  <c r="C48" i="9"/>
  <c r="A49" i="29"/>
  <c r="A49" i="21"/>
  <c r="A49" i="9"/>
  <c r="C52" i="29"/>
  <c r="C52" i="21"/>
  <c r="C52" i="9"/>
  <c r="A53" i="29"/>
  <c r="A53" i="21"/>
  <c r="A53" i="9"/>
  <c r="C56" i="29"/>
  <c r="C56" i="21"/>
  <c r="C56" i="9"/>
  <c r="A57" i="29"/>
  <c r="A57" i="21"/>
  <c r="A57" i="9"/>
  <c r="C60" i="29"/>
  <c r="C60" i="21"/>
  <c r="C60" i="9"/>
  <c r="A61" i="29"/>
  <c r="A61" i="21"/>
  <c r="A61" i="9"/>
  <c r="C64" i="21"/>
  <c r="C64" i="29"/>
  <c r="C64" i="9"/>
  <c r="A65" i="29"/>
  <c r="A65" i="21"/>
  <c r="A65" i="9"/>
  <c r="C68" i="29"/>
  <c r="C68" i="9"/>
  <c r="C68" i="21"/>
  <c r="A69" i="29"/>
  <c r="A69" i="21"/>
  <c r="A69" i="9"/>
  <c r="C72" i="29"/>
  <c r="C72" i="21"/>
  <c r="C72" i="9"/>
  <c r="A73" i="29"/>
  <c r="A73" i="21"/>
  <c r="A73" i="9"/>
  <c r="C76" i="29"/>
  <c r="C76" i="9"/>
  <c r="C76" i="21"/>
  <c r="A77" i="29"/>
  <c r="A77" i="21"/>
  <c r="A77" i="9"/>
  <c r="C80" i="21"/>
  <c r="C80" i="29"/>
  <c r="C80" i="9"/>
  <c r="A81" i="29"/>
  <c r="A81" i="21"/>
  <c r="A81" i="9"/>
  <c r="C84" i="29"/>
  <c r="C84" i="9"/>
  <c r="C84" i="21"/>
  <c r="A85" i="29"/>
  <c r="A85" i="21"/>
  <c r="A85" i="9"/>
  <c r="C88" i="29"/>
  <c r="C88" i="21"/>
  <c r="C88" i="9"/>
  <c r="A89" i="29"/>
  <c r="A89" i="21"/>
  <c r="A89" i="9"/>
  <c r="C92" i="29"/>
  <c r="C92" i="9"/>
  <c r="C92" i="21"/>
  <c r="A93" i="29"/>
  <c r="A93" i="21"/>
  <c r="A93" i="9"/>
  <c r="C96" i="29"/>
  <c r="C96" i="21"/>
  <c r="C96" i="9"/>
  <c r="A97" i="29"/>
  <c r="A97" i="21"/>
  <c r="A97" i="9"/>
  <c r="C100" i="29"/>
  <c r="C100" i="9"/>
  <c r="C100" i="21"/>
  <c r="A101" i="29"/>
  <c r="A101" i="21"/>
  <c r="A101" i="9"/>
  <c r="C104" i="29"/>
  <c r="C104" i="21"/>
  <c r="C104" i="9"/>
  <c r="A105" i="29"/>
  <c r="A105" i="21"/>
  <c r="A105" i="9"/>
  <c r="C108" i="29"/>
  <c r="C108" i="21"/>
  <c r="C108" i="9"/>
  <c r="A109" i="29"/>
  <c r="A109" i="21"/>
  <c r="A109" i="9"/>
  <c r="C112" i="29"/>
  <c r="C112" i="21"/>
  <c r="C112" i="9"/>
  <c r="A113" i="29"/>
  <c r="A113" i="21"/>
  <c r="A113" i="9"/>
  <c r="C116" i="29"/>
  <c r="C116" i="9"/>
  <c r="C116" i="21"/>
  <c r="A117" i="29"/>
  <c r="A117" i="21"/>
  <c r="A117" i="9"/>
  <c r="C120" i="21"/>
  <c r="C120" i="29"/>
  <c r="C120" i="9"/>
  <c r="A121" i="29"/>
  <c r="A121" i="21"/>
  <c r="A121" i="9"/>
  <c r="C124" i="29"/>
  <c r="C124" i="21"/>
  <c r="C124" i="9"/>
  <c r="A125" i="29"/>
  <c r="A125" i="21"/>
  <c r="A125" i="9"/>
  <c r="C128" i="21"/>
  <c r="C128" i="9"/>
  <c r="C128" i="29"/>
  <c r="A129" i="29"/>
  <c r="A129" i="21"/>
  <c r="A129" i="9"/>
  <c r="C132" i="29"/>
  <c r="C132" i="9"/>
  <c r="C132" i="21"/>
  <c r="A133" i="29"/>
  <c r="A133" i="21"/>
  <c r="A133" i="9"/>
  <c r="C136" i="29"/>
  <c r="C136" i="21"/>
  <c r="C136" i="9"/>
  <c r="A137" i="29"/>
  <c r="A137" i="21"/>
  <c r="A137" i="9"/>
  <c r="C140" i="21"/>
  <c r="C140" i="29"/>
  <c r="C140" i="9"/>
  <c r="A141" i="29"/>
  <c r="A141" i="21"/>
  <c r="A141" i="9"/>
  <c r="C144" i="29"/>
  <c r="C144" i="21"/>
  <c r="C144" i="9"/>
  <c r="A145" i="29"/>
  <c r="A145" i="21"/>
  <c r="A145" i="9"/>
  <c r="C148" i="29"/>
  <c r="C148" i="9"/>
  <c r="C148" i="21"/>
  <c r="A149" i="29"/>
  <c r="A149" i="21"/>
  <c r="A149" i="9"/>
  <c r="C152" i="29"/>
  <c r="C152" i="21"/>
  <c r="C152" i="9"/>
  <c r="A153" i="29"/>
  <c r="A153" i="9"/>
  <c r="A153" i="21"/>
  <c r="C156" i="29"/>
  <c r="C156" i="21"/>
  <c r="C156" i="9"/>
  <c r="A157" i="29"/>
  <c r="A157" i="21"/>
  <c r="A157" i="9"/>
  <c r="C160" i="29"/>
  <c r="C160" i="21"/>
  <c r="C160" i="9"/>
  <c r="A161" i="29"/>
  <c r="A161" i="9"/>
  <c r="A161" i="21"/>
  <c r="C164" i="29"/>
  <c r="C164" i="21"/>
  <c r="C164" i="9"/>
  <c r="A165" i="29"/>
  <c r="A165" i="21"/>
  <c r="A165" i="9"/>
  <c r="C168" i="29"/>
  <c r="C168" i="21"/>
  <c r="C168" i="9"/>
  <c r="A169" i="29"/>
  <c r="A169" i="21"/>
  <c r="A169" i="9"/>
  <c r="C172" i="29"/>
  <c r="C172" i="21"/>
  <c r="C172" i="9"/>
  <c r="A173" i="29"/>
  <c r="A173" i="21"/>
  <c r="A173" i="9"/>
  <c r="C176" i="29"/>
  <c r="C176" i="21"/>
  <c r="C176" i="9"/>
  <c r="A177" i="29"/>
  <c r="A177" i="21"/>
  <c r="A177" i="9"/>
  <c r="C180" i="29"/>
  <c r="C180" i="21"/>
  <c r="C180" i="9"/>
  <c r="A181" i="29"/>
  <c r="A181" i="21"/>
  <c r="A181" i="9"/>
  <c r="C184" i="29"/>
  <c r="C184" i="21"/>
  <c r="C184" i="9"/>
  <c r="A185" i="29"/>
  <c r="A185" i="9"/>
  <c r="A185" i="21"/>
  <c r="C188" i="29"/>
  <c r="C188" i="21"/>
  <c r="C188" i="9"/>
  <c r="A189" i="29"/>
  <c r="A189" i="21"/>
  <c r="A189" i="9"/>
  <c r="C192" i="29"/>
  <c r="C192" i="21"/>
  <c r="C192" i="9"/>
  <c r="A193" i="29"/>
  <c r="A193" i="9"/>
  <c r="A193" i="21"/>
  <c r="C196" i="29"/>
  <c r="C196" i="21"/>
  <c r="C196" i="9"/>
  <c r="A197" i="29"/>
  <c r="A197" i="21"/>
  <c r="A197" i="9"/>
  <c r="C200" i="29"/>
  <c r="C200" i="21"/>
  <c r="C200" i="9"/>
  <c r="A201" i="29"/>
  <c r="A201" i="21"/>
  <c r="A201" i="9"/>
  <c r="C204" i="21"/>
  <c r="C204" i="9"/>
  <c r="C204" i="29"/>
  <c r="A205" i="29"/>
  <c r="A205" i="21"/>
  <c r="A205" i="9"/>
  <c r="C208" i="29"/>
  <c r="C208" i="21"/>
  <c r="C208" i="9"/>
  <c r="A209" i="29"/>
  <c r="A209" i="21"/>
  <c r="A209" i="9"/>
  <c r="C212" i="29"/>
  <c r="C212" i="21"/>
  <c r="C212" i="9"/>
  <c r="A213" i="29"/>
  <c r="A213" i="21"/>
  <c r="A213" i="9"/>
  <c r="C216" i="29"/>
  <c r="C216" i="21"/>
  <c r="C216" i="9"/>
  <c r="A217" i="29"/>
  <c r="A217" i="9"/>
  <c r="A217" i="21"/>
  <c r="C220" i="29"/>
  <c r="C220" i="21"/>
  <c r="C220" i="9"/>
  <c r="A221" i="29"/>
  <c r="A221" i="21"/>
  <c r="A221" i="9"/>
  <c r="C224" i="29"/>
  <c r="C224" i="21"/>
  <c r="C224" i="9"/>
  <c r="A225" i="29"/>
  <c r="A225" i="9"/>
  <c r="A225" i="21"/>
  <c r="C228" i="29"/>
  <c r="C228" i="21"/>
  <c r="C228" i="9"/>
  <c r="A229" i="29"/>
  <c r="A229" i="21"/>
  <c r="A229" i="9"/>
  <c r="C232" i="29"/>
  <c r="C232" i="21"/>
  <c r="C232" i="9"/>
  <c r="A233" i="29"/>
  <c r="A233" i="9"/>
  <c r="A233" i="21"/>
  <c r="C236" i="29"/>
  <c r="C236" i="21"/>
  <c r="C236" i="9"/>
  <c r="A237" i="29"/>
  <c r="A237" i="21"/>
  <c r="A237" i="9"/>
  <c r="C240" i="29"/>
  <c r="C240" i="21"/>
  <c r="C240" i="9"/>
  <c r="A241" i="29"/>
  <c r="A241" i="21"/>
  <c r="A241" i="9"/>
  <c r="C244" i="21"/>
  <c r="C244" i="29"/>
  <c r="C244" i="9"/>
  <c r="A245" i="29"/>
  <c r="A245" i="21"/>
  <c r="A245" i="9"/>
  <c r="C248" i="29"/>
  <c r="C248" i="21"/>
  <c r="C248" i="9"/>
  <c r="A249" i="29"/>
  <c r="A249" i="9"/>
  <c r="A249" i="21"/>
  <c r="C252" i="29"/>
  <c r="C252" i="21"/>
  <c r="C252" i="9"/>
  <c r="A253" i="29"/>
  <c r="A253" i="21"/>
  <c r="A253" i="9"/>
  <c r="C256" i="29"/>
  <c r="C256" i="21"/>
  <c r="C256" i="9"/>
  <c r="A257" i="29"/>
  <c r="A257" i="9"/>
  <c r="A257" i="21"/>
  <c r="C260" i="21"/>
  <c r="C260" i="29"/>
  <c r="C260" i="9"/>
  <c r="A261" i="29"/>
  <c r="A261" i="21"/>
  <c r="A261" i="9"/>
  <c r="C264" i="29"/>
  <c r="C264" i="21"/>
  <c r="C264" i="9"/>
  <c r="A265" i="29"/>
  <c r="A265" i="21"/>
  <c r="A265" i="9"/>
  <c r="C268" i="29"/>
  <c r="C268" i="21"/>
  <c r="C268" i="9"/>
  <c r="A269" i="29"/>
  <c r="A269" i="21"/>
  <c r="A269" i="9"/>
  <c r="C272" i="29"/>
  <c r="C272" i="21"/>
  <c r="C272" i="9"/>
  <c r="A273" i="29"/>
  <c r="A273" i="9"/>
  <c r="A273" i="21"/>
  <c r="C276" i="29"/>
  <c r="C276" i="21"/>
  <c r="C276" i="9"/>
  <c r="A277" i="29"/>
  <c r="A277" i="21"/>
  <c r="A277" i="9"/>
  <c r="C280" i="29"/>
  <c r="C280" i="21"/>
  <c r="C280" i="9"/>
  <c r="A281" i="29"/>
  <c r="A281" i="9"/>
  <c r="A281" i="21"/>
  <c r="C284" i="29"/>
  <c r="C284" i="21"/>
  <c r="C284" i="9"/>
  <c r="A285" i="29"/>
  <c r="A285" i="21"/>
  <c r="A285" i="9"/>
  <c r="C288" i="29"/>
  <c r="C288" i="21"/>
  <c r="C288" i="9"/>
  <c r="A289" i="29"/>
  <c r="A289" i="9"/>
  <c r="A289" i="21"/>
  <c r="C292" i="29"/>
  <c r="C292" i="21"/>
  <c r="C292" i="9"/>
  <c r="A293" i="29"/>
  <c r="A293" i="21"/>
  <c r="A293" i="9"/>
  <c r="C296" i="29"/>
  <c r="C296" i="21"/>
  <c r="C296" i="9"/>
  <c r="A297" i="29"/>
  <c r="A297" i="9"/>
  <c r="A297" i="21"/>
  <c r="C300" i="29"/>
  <c r="C300" i="21"/>
  <c r="C300" i="9"/>
  <c r="A301" i="29"/>
  <c r="A301" i="21"/>
  <c r="A301" i="9"/>
  <c r="C304" i="29"/>
  <c r="C304" i="21"/>
  <c r="C304" i="9"/>
  <c r="A305" i="29"/>
  <c r="A305" i="21"/>
  <c r="A305" i="9"/>
  <c r="AE308" i="53"/>
  <c r="B16" i="29"/>
  <c r="B16" i="21"/>
  <c r="B16" i="9"/>
  <c r="B24" i="29"/>
  <c r="B24" i="21"/>
  <c r="B24" i="9"/>
  <c r="B36" i="29"/>
  <c r="B36" i="21"/>
  <c r="B36" i="9"/>
  <c r="B40" i="29"/>
  <c r="B40" i="21"/>
  <c r="B40" i="9"/>
  <c r="B44" i="29"/>
  <c r="B44" i="21"/>
  <c r="B44" i="9"/>
  <c r="B64" i="29"/>
  <c r="B64" i="9"/>
  <c r="B64" i="21"/>
  <c r="B72" i="29"/>
  <c r="B72" i="21"/>
  <c r="B72" i="9"/>
  <c r="B92" i="29"/>
  <c r="B92" i="21"/>
  <c r="B92" i="9"/>
  <c r="B124" i="29"/>
  <c r="B124" i="21"/>
  <c r="B124" i="9"/>
  <c r="B140" i="29"/>
  <c r="B140" i="21"/>
  <c r="B140" i="9"/>
  <c r="B176" i="29"/>
  <c r="B176" i="21"/>
  <c r="B176" i="9"/>
  <c r="B216" i="29"/>
  <c r="B216" i="21"/>
  <c r="B216" i="9"/>
  <c r="B9" i="29"/>
  <c r="B9" i="9"/>
  <c r="B9" i="21"/>
  <c r="B13" i="29"/>
  <c r="B13" i="21"/>
  <c r="B13" i="9"/>
  <c r="B17" i="29"/>
  <c r="B17" i="21"/>
  <c r="B17" i="9"/>
  <c r="B25" i="29"/>
  <c r="B25" i="21"/>
  <c r="B25" i="9"/>
  <c r="B29" i="29"/>
  <c r="B29" i="9"/>
  <c r="B29" i="21"/>
  <c r="B33" i="29"/>
  <c r="B33" i="21"/>
  <c r="B33" i="9"/>
  <c r="B37" i="29"/>
  <c r="B37" i="21"/>
  <c r="B37" i="9"/>
  <c r="B41" i="29"/>
  <c r="B41" i="21"/>
  <c r="B41" i="9"/>
  <c r="B45" i="29"/>
  <c r="B45" i="21"/>
  <c r="B45" i="9"/>
  <c r="B49" i="29"/>
  <c r="B49" i="21"/>
  <c r="B49" i="9"/>
  <c r="B53" i="29"/>
  <c r="B53" i="21"/>
  <c r="B53" i="9"/>
  <c r="B57" i="29"/>
  <c r="B57" i="21"/>
  <c r="B57" i="9"/>
  <c r="B61" i="29"/>
  <c r="B61" i="21"/>
  <c r="B61" i="9"/>
  <c r="B65" i="29"/>
  <c r="B65" i="21"/>
  <c r="B65" i="9"/>
  <c r="B69" i="29"/>
  <c r="B69" i="21"/>
  <c r="B69" i="9"/>
  <c r="B73" i="29"/>
  <c r="B73" i="21"/>
  <c r="B73" i="9"/>
  <c r="B77" i="29"/>
  <c r="B77" i="21"/>
  <c r="B77" i="9"/>
  <c r="B81" i="29"/>
  <c r="B81" i="21"/>
  <c r="B81" i="9"/>
  <c r="B85" i="29"/>
  <c r="B85" i="21"/>
  <c r="B85" i="9"/>
  <c r="B89" i="29"/>
  <c r="B89" i="21"/>
  <c r="B89" i="9"/>
  <c r="B93" i="29"/>
  <c r="B93" i="9"/>
  <c r="B93" i="21"/>
  <c r="B97" i="29"/>
  <c r="B97" i="21"/>
  <c r="B97" i="9"/>
  <c r="B101" i="29"/>
  <c r="B101" i="21"/>
  <c r="B101" i="9"/>
  <c r="B105" i="29"/>
  <c r="B105" i="21"/>
  <c r="B105" i="9"/>
  <c r="B109" i="29"/>
  <c r="B109" i="21"/>
  <c r="B109" i="9"/>
  <c r="B113" i="29"/>
  <c r="B113" i="21"/>
  <c r="B113" i="9"/>
  <c r="B117" i="29"/>
  <c r="B117" i="21"/>
  <c r="B117" i="9"/>
  <c r="B121" i="29"/>
  <c r="B121" i="9"/>
  <c r="B121" i="21"/>
  <c r="B125" i="29"/>
  <c r="B125" i="21"/>
  <c r="B125" i="9"/>
  <c r="B129" i="29"/>
  <c r="B129" i="21"/>
  <c r="B129" i="9"/>
  <c r="B133" i="29"/>
  <c r="B133" i="21"/>
  <c r="B133" i="9"/>
  <c r="B137" i="29"/>
  <c r="B137" i="9"/>
  <c r="B137" i="21"/>
  <c r="B141" i="29"/>
  <c r="B141" i="21"/>
  <c r="B141" i="9"/>
  <c r="B145" i="21"/>
  <c r="B145" i="9"/>
  <c r="B145" i="29"/>
  <c r="B149" i="29"/>
  <c r="B149" i="21"/>
  <c r="B149" i="9"/>
  <c r="B153" i="29"/>
  <c r="B153" i="21"/>
  <c r="B153" i="9"/>
  <c r="B157" i="29"/>
  <c r="B157" i="21"/>
  <c r="B157" i="9"/>
  <c r="B161" i="21"/>
  <c r="B161" i="9"/>
  <c r="B161" i="29"/>
  <c r="B165" i="29"/>
  <c r="B165" i="21"/>
  <c r="B165" i="9"/>
  <c r="B169" i="21"/>
  <c r="B169" i="9"/>
  <c r="B169" i="29"/>
  <c r="B173" i="21"/>
  <c r="B173" i="9"/>
  <c r="B173" i="29"/>
  <c r="B177" i="29"/>
  <c r="B177" i="21"/>
  <c r="B177" i="9"/>
  <c r="B181" i="29"/>
  <c r="B181" i="21"/>
  <c r="B181" i="9"/>
  <c r="B185" i="29"/>
  <c r="B185" i="21"/>
  <c r="B185" i="9"/>
  <c r="B189" i="21"/>
  <c r="B189" i="29"/>
  <c r="B189" i="9"/>
  <c r="B193" i="29"/>
  <c r="B193" i="21"/>
  <c r="B193" i="9"/>
  <c r="B197" i="29"/>
  <c r="B197" i="21"/>
  <c r="B197" i="9"/>
  <c r="B201" i="29"/>
  <c r="B201" i="21"/>
  <c r="B201" i="9"/>
  <c r="B205" i="29"/>
  <c r="B205" i="21"/>
  <c r="B205" i="9"/>
  <c r="B209" i="21"/>
  <c r="B209" i="9"/>
  <c r="B209" i="29"/>
  <c r="B213" i="29"/>
  <c r="B213" i="21"/>
  <c r="B213" i="9"/>
  <c r="B217" i="29"/>
  <c r="B217" i="21"/>
  <c r="B217" i="9"/>
  <c r="B221" i="29"/>
  <c r="B221" i="21"/>
  <c r="B221" i="9"/>
  <c r="B225" i="21"/>
  <c r="B225" i="29"/>
  <c r="B225" i="9"/>
  <c r="B229" i="29"/>
  <c r="B229" i="21"/>
  <c r="B229" i="9"/>
  <c r="B233" i="21"/>
  <c r="B233" i="29"/>
  <c r="B233" i="9"/>
  <c r="B237" i="29"/>
  <c r="B237" i="21"/>
  <c r="B237" i="9"/>
  <c r="B241" i="29"/>
  <c r="B241" i="21"/>
  <c r="B241" i="9"/>
  <c r="B245" i="29"/>
  <c r="B245" i="21"/>
  <c r="B245" i="9"/>
  <c r="B249" i="29"/>
  <c r="B249" i="21"/>
  <c r="B249" i="9"/>
  <c r="B253" i="29"/>
  <c r="B253" i="21"/>
  <c r="B253" i="9"/>
  <c r="B257" i="29"/>
  <c r="B257" i="21"/>
  <c r="B257" i="9"/>
  <c r="B261" i="21"/>
  <c r="B261" i="29"/>
  <c r="B261" i="9"/>
  <c r="B265" i="29"/>
  <c r="B265" i="21"/>
  <c r="B265" i="9"/>
  <c r="B269" i="29"/>
  <c r="B269" i="21"/>
  <c r="B269" i="9"/>
  <c r="B273" i="21"/>
  <c r="B273" i="29"/>
  <c r="B273" i="9"/>
  <c r="B277" i="29"/>
  <c r="B277" i="21"/>
  <c r="B277" i="9"/>
  <c r="B281" i="29"/>
  <c r="B281" i="21"/>
  <c r="B281" i="9"/>
  <c r="B285" i="29"/>
  <c r="B285" i="21"/>
  <c r="B285" i="9"/>
  <c r="B289" i="21"/>
  <c r="B289" i="29"/>
  <c r="B289" i="9"/>
  <c r="B293" i="29"/>
  <c r="B293" i="21"/>
  <c r="B293" i="9"/>
  <c r="B297" i="29"/>
  <c r="B297" i="21"/>
  <c r="B297" i="9"/>
  <c r="B301" i="29"/>
  <c r="B301" i="21"/>
  <c r="B301" i="9"/>
  <c r="B305" i="29"/>
  <c r="B305" i="21"/>
  <c r="B305" i="9"/>
  <c r="B28" i="29"/>
  <c r="B28" i="21"/>
  <c r="B28" i="9"/>
  <c r="B52" i="29"/>
  <c r="B52" i="21"/>
  <c r="B52" i="9"/>
  <c r="B60" i="29"/>
  <c r="B60" i="21"/>
  <c r="B60" i="9"/>
  <c r="B76" i="29"/>
  <c r="B76" i="21"/>
  <c r="B76" i="9"/>
  <c r="B84" i="29"/>
  <c r="B84" i="21"/>
  <c r="B84" i="9"/>
  <c r="B88" i="29"/>
  <c r="B88" i="21"/>
  <c r="B88" i="9"/>
  <c r="B108" i="29"/>
  <c r="B108" i="21"/>
  <c r="B108" i="9"/>
  <c r="B112" i="29"/>
  <c r="B112" i="9"/>
  <c r="B112" i="21"/>
  <c r="B132" i="29"/>
  <c r="B132" i="21"/>
  <c r="B132" i="9"/>
  <c r="B156" i="29"/>
  <c r="B156" i="21"/>
  <c r="B156" i="9"/>
  <c r="B172" i="29"/>
  <c r="B172" i="21"/>
  <c r="B172" i="9"/>
  <c r="B200" i="29"/>
  <c r="B200" i="21"/>
  <c r="B200" i="9"/>
  <c r="B21" i="29"/>
  <c r="B21" i="21"/>
  <c r="B21" i="9"/>
  <c r="C9" i="21"/>
  <c r="C9" i="9"/>
  <c r="C9" i="29"/>
  <c r="A10" i="29"/>
  <c r="A10" i="21"/>
  <c r="A10" i="9"/>
  <c r="C13" i="29"/>
  <c r="C13" i="9"/>
  <c r="C13" i="21"/>
  <c r="A14" i="29"/>
  <c r="A14" i="21"/>
  <c r="A14" i="9"/>
  <c r="C17" i="29"/>
  <c r="C17" i="21"/>
  <c r="C17" i="9"/>
  <c r="A18" i="29"/>
  <c r="A18" i="21"/>
  <c r="A18" i="9"/>
  <c r="C21" i="29"/>
  <c r="C21" i="9"/>
  <c r="C21" i="21"/>
  <c r="A22" i="29"/>
  <c r="A22" i="21"/>
  <c r="A22" i="9"/>
  <c r="C25" i="21"/>
  <c r="C25" i="9"/>
  <c r="C25" i="29"/>
  <c r="A26" i="29"/>
  <c r="A26" i="9"/>
  <c r="A26" i="21"/>
  <c r="C29" i="29"/>
  <c r="C29" i="21"/>
  <c r="C29" i="9"/>
  <c r="A30" i="29"/>
  <c r="A30" i="21"/>
  <c r="A30" i="9"/>
  <c r="C33" i="29"/>
  <c r="C33" i="21"/>
  <c r="C33" i="9"/>
  <c r="A34" i="29"/>
  <c r="A34" i="9"/>
  <c r="A34" i="21"/>
  <c r="C37" i="29"/>
  <c r="C37" i="21"/>
  <c r="C37" i="9"/>
  <c r="A38" i="29"/>
  <c r="A38" i="21"/>
  <c r="A38" i="9"/>
  <c r="C41" i="29"/>
  <c r="C41" i="21"/>
  <c r="C41" i="9"/>
  <c r="A42" i="29"/>
  <c r="A42" i="9"/>
  <c r="A42" i="21"/>
  <c r="C45" i="29"/>
  <c r="C45" i="21"/>
  <c r="C45" i="9"/>
  <c r="A46" i="29"/>
  <c r="A46" i="21"/>
  <c r="A46" i="9"/>
  <c r="C49" i="29"/>
  <c r="C49" i="21"/>
  <c r="C49" i="9"/>
  <c r="A50" i="29"/>
  <c r="A50" i="9"/>
  <c r="A50" i="21"/>
  <c r="C53" i="29"/>
  <c r="C53" i="21"/>
  <c r="C53" i="9"/>
  <c r="A54" i="21"/>
  <c r="A54" i="29"/>
  <c r="A54" i="9"/>
  <c r="C57" i="21"/>
  <c r="C57" i="9"/>
  <c r="C57" i="29"/>
  <c r="A58" i="29"/>
  <c r="A58" i="9"/>
  <c r="A58" i="21"/>
  <c r="C61" i="29"/>
  <c r="C61" i="21"/>
  <c r="C61" i="9"/>
  <c r="A62" i="29"/>
  <c r="A62" i="21"/>
  <c r="A62" i="9"/>
  <c r="C65" i="29"/>
  <c r="C65" i="21"/>
  <c r="C65" i="9"/>
  <c r="A66" i="29"/>
  <c r="A66" i="21"/>
  <c r="A66" i="9"/>
  <c r="C69" i="29"/>
  <c r="C69" i="21"/>
  <c r="C69" i="9"/>
  <c r="A70" i="29"/>
  <c r="A70" i="21"/>
  <c r="A70" i="9"/>
  <c r="C73" i="21"/>
  <c r="C73" i="9"/>
  <c r="C73" i="29"/>
  <c r="A74" i="29"/>
  <c r="A74" i="21"/>
  <c r="A74" i="9"/>
  <c r="C77" i="29"/>
  <c r="C77" i="9"/>
  <c r="C77" i="21"/>
  <c r="A78" i="29"/>
  <c r="A78" i="21"/>
  <c r="A78" i="9"/>
  <c r="C81" i="29"/>
  <c r="C81" i="21"/>
  <c r="C81" i="9"/>
  <c r="A82" i="29"/>
  <c r="A82" i="21"/>
  <c r="A82" i="9"/>
  <c r="C85" i="29"/>
  <c r="C85" i="9"/>
  <c r="C85" i="21"/>
  <c r="A86" i="21"/>
  <c r="A86" i="29"/>
  <c r="A86" i="9"/>
  <c r="C89" i="29"/>
  <c r="C89" i="21"/>
  <c r="C89" i="9"/>
  <c r="A90" i="29"/>
  <c r="A90" i="9"/>
  <c r="A90" i="21"/>
  <c r="C93" i="29"/>
  <c r="C93" i="21"/>
  <c r="C93" i="9"/>
  <c r="A94" i="29"/>
  <c r="A94" i="21"/>
  <c r="A94" i="9"/>
  <c r="C97" i="29"/>
  <c r="C97" i="21"/>
  <c r="C97" i="9"/>
  <c r="A98" i="29"/>
  <c r="A98" i="9"/>
  <c r="A98" i="21"/>
  <c r="C101" i="29"/>
  <c r="C101" i="21"/>
  <c r="C101" i="9"/>
  <c r="A102" i="21"/>
  <c r="A102" i="29"/>
  <c r="A102" i="9"/>
  <c r="C105" i="29"/>
  <c r="C105" i="21"/>
  <c r="C105" i="9"/>
  <c r="A106" i="29"/>
  <c r="A106" i="9"/>
  <c r="A106" i="21"/>
  <c r="C109" i="29"/>
  <c r="C109" i="21"/>
  <c r="C109" i="9"/>
  <c r="A110" i="29"/>
  <c r="A110" i="21"/>
  <c r="A110" i="9"/>
  <c r="C113" i="29"/>
  <c r="C113" i="21"/>
  <c r="C113" i="9"/>
  <c r="A114" i="21"/>
  <c r="A114" i="9"/>
  <c r="A114" i="29"/>
  <c r="C117" i="29"/>
  <c r="C117" i="9"/>
  <c r="C117" i="21"/>
  <c r="A118" i="21"/>
  <c r="A118" i="29"/>
  <c r="A118" i="9"/>
  <c r="C121" i="29"/>
  <c r="C121" i="21"/>
  <c r="C121" i="9"/>
  <c r="A122" i="29"/>
  <c r="A122" i="9"/>
  <c r="A122" i="21"/>
  <c r="C125" i="29"/>
  <c r="C125" i="21"/>
  <c r="C125" i="9"/>
  <c r="A126" i="29"/>
  <c r="A126" i="21"/>
  <c r="A126" i="9"/>
  <c r="C129" i="29"/>
  <c r="C129" i="21"/>
  <c r="C129" i="9"/>
  <c r="A130" i="29"/>
  <c r="A130" i="21"/>
  <c r="A130" i="9"/>
  <c r="C133" i="29"/>
  <c r="C133" i="9"/>
  <c r="C133" i="21"/>
  <c r="A134" i="21"/>
  <c r="A134" i="29"/>
  <c r="A134" i="9"/>
  <c r="C137" i="21"/>
  <c r="C137" i="29"/>
  <c r="C137" i="9"/>
  <c r="A138" i="29"/>
  <c r="A138" i="9"/>
  <c r="A138" i="21"/>
  <c r="C141" i="29"/>
  <c r="C141" i="21"/>
  <c r="C141" i="9"/>
  <c r="A142" i="29"/>
  <c r="A142" i="21"/>
  <c r="A142" i="9"/>
  <c r="C145" i="29"/>
  <c r="C145" i="21"/>
  <c r="C145" i="9"/>
  <c r="A146" i="29"/>
  <c r="A146" i="21"/>
  <c r="A146" i="9"/>
  <c r="C149" i="29"/>
  <c r="C149" i="9"/>
  <c r="C149" i="21"/>
  <c r="A150" i="29"/>
  <c r="A150" i="21"/>
  <c r="A150" i="9"/>
  <c r="C153" i="29"/>
  <c r="C153" i="21"/>
  <c r="C153" i="9"/>
  <c r="A154" i="21"/>
  <c r="A154" i="9"/>
  <c r="A154" i="29"/>
  <c r="C157" i="29"/>
  <c r="C157" i="21"/>
  <c r="C157" i="9"/>
  <c r="A158" i="29"/>
  <c r="A158" i="21"/>
  <c r="A158" i="9"/>
  <c r="C161" i="29"/>
  <c r="C161" i="21"/>
  <c r="C161" i="9"/>
  <c r="A162" i="21"/>
  <c r="A162" i="9"/>
  <c r="A162" i="29"/>
  <c r="C165" i="29"/>
  <c r="C165" i="21"/>
  <c r="C165" i="9"/>
  <c r="A166" i="29"/>
  <c r="A166" i="21"/>
  <c r="A166" i="9"/>
  <c r="C169" i="29"/>
  <c r="C169" i="21"/>
  <c r="C169" i="9"/>
  <c r="A170" i="29"/>
  <c r="A170" i="21"/>
  <c r="A170" i="9"/>
  <c r="C173" i="29"/>
  <c r="C173" i="21"/>
  <c r="C173" i="9"/>
  <c r="A174" i="29"/>
  <c r="A174" i="21"/>
  <c r="A174" i="9"/>
  <c r="C177" i="29"/>
  <c r="C177" i="21"/>
  <c r="C177" i="9"/>
  <c r="A178" i="29"/>
  <c r="A178" i="21"/>
  <c r="A178" i="9"/>
  <c r="C181" i="29"/>
  <c r="C181" i="21"/>
  <c r="C181" i="9"/>
  <c r="A182" i="29"/>
  <c r="A182" i="21"/>
  <c r="A182" i="9"/>
  <c r="C185" i="29"/>
  <c r="C185" i="21"/>
  <c r="C185" i="9"/>
  <c r="A186" i="29"/>
  <c r="A186" i="21"/>
  <c r="A186" i="9"/>
  <c r="C189" i="29"/>
  <c r="C189" i="21"/>
  <c r="C189" i="9"/>
  <c r="A190" i="29"/>
  <c r="A190" i="21"/>
  <c r="A190" i="9"/>
  <c r="C193" i="29"/>
  <c r="C193" i="21"/>
  <c r="C193" i="9"/>
  <c r="A194" i="29"/>
  <c r="A194" i="21"/>
  <c r="A194" i="9"/>
  <c r="C197" i="29"/>
  <c r="C197" i="21"/>
  <c r="C197" i="9"/>
  <c r="A198" i="29"/>
  <c r="A198" i="21"/>
  <c r="A198" i="9"/>
  <c r="C201" i="29"/>
  <c r="C201" i="21"/>
  <c r="C201" i="9"/>
  <c r="A202" i="21"/>
  <c r="A202" i="9"/>
  <c r="A202" i="29"/>
  <c r="C205" i="29"/>
  <c r="C205" i="21"/>
  <c r="C205" i="9"/>
  <c r="A206" i="29"/>
  <c r="A206" i="21"/>
  <c r="A206" i="9"/>
  <c r="C209" i="29"/>
  <c r="C209" i="21"/>
  <c r="C209" i="9"/>
  <c r="A210" i="29"/>
  <c r="A210" i="21"/>
  <c r="A210" i="9"/>
  <c r="C213" i="29"/>
  <c r="C213" i="21"/>
  <c r="C213" i="9"/>
  <c r="A214" i="29"/>
  <c r="A214" i="21"/>
  <c r="A214" i="9"/>
  <c r="C217" i="29"/>
  <c r="C217" i="21"/>
  <c r="C217" i="9"/>
  <c r="A218" i="29"/>
  <c r="A218" i="21"/>
  <c r="A218" i="9"/>
  <c r="C221" i="29"/>
  <c r="C221" i="21"/>
  <c r="C221" i="9"/>
  <c r="A222" i="29"/>
  <c r="A222" i="21"/>
  <c r="A222" i="9"/>
  <c r="C225" i="29"/>
  <c r="C225" i="21"/>
  <c r="C225" i="9"/>
  <c r="A226" i="21"/>
  <c r="A226" i="29"/>
  <c r="A226" i="9"/>
  <c r="C229" i="29"/>
  <c r="C229" i="21"/>
  <c r="C229" i="9"/>
  <c r="A230" i="29"/>
  <c r="A230" i="21"/>
  <c r="A230" i="9"/>
  <c r="C233" i="29"/>
  <c r="C233" i="21"/>
  <c r="C233" i="9"/>
  <c r="A234" i="29"/>
  <c r="A234" i="21"/>
  <c r="A234" i="9"/>
  <c r="C237" i="29"/>
  <c r="C237" i="21"/>
  <c r="C237" i="9"/>
  <c r="A238" i="29"/>
  <c r="A238" i="21"/>
  <c r="A238" i="9"/>
  <c r="C241" i="29"/>
  <c r="C241" i="21"/>
  <c r="C241" i="9"/>
  <c r="A242" i="29"/>
  <c r="A242" i="21"/>
  <c r="A242" i="9"/>
  <c r="C245" i="29"/>
  <c r="C245" i="21"/>
  <c r="C245" i="9"/>
  <c r="A246" i="29"/>
  <c r="A246" i="21"/>
  <c r="A246" i="9"/>
  <c r="C249" i="29"/>
  <c r="C249" i="21"/>
  <c r="C249" i="9"/>
  <c r="A250" i="29"/>
  <c r="A250" i="21"/>
  <c r="A250" i="9"/>
  <c r="C253" i="29"/>
  <c r="C253" i="21"/>
  <c r="C253" i="9"/>
  <c r="A254" i="29"/>
  <c r="A254" i="21"/>
  <c r="A254" i="9"/>
  <c r="C257" i="29"/>
  <c r="C257" i="21"/>
  <c r="C257" i="9"/>
  <c r="A258" i="29"/>
  <c r="A258" i="21"/>
  <c r="A258" i="9"/>
  <c r="C261" i="29"/>
  <c r="C261" i="21"/>
  <c r="C261" i="9"/>
  <c r="A262" i="29"/>
  <c r="A262" i="21"/>
  <c r="A262" i="9"/>
  <c r="C265" i="29"/>
  <c r="C265" i="21"/>
  <c r="C265" i="9"/>
  <c r="A266" i="21"/>
  <c r="A266" i="29"/>
  <c r="A266" i="9"/>
  <c r="C269" i="29"/>
  <c r="C269" i="21"/>
  <c r="C269" i="9"/>
  <c r="A270" i="29"/>
  <c r="A270" i="21"/>
  <c r="A270" i="9"/>
  <c r="C273" i="29"/>
  <c r="C273" i="21"/>
  <c r="C273" i="9"/>
  <c r="A274" i="29"/>
  <c r="A274" i="21"/>
  <c r="A274" i="9"/>
  <c r="C277" i="29"/>
  <c r="C277" i="21"/>
  <c r="C277" i="9"/>
  <c r="A278" i="29"/>
  <c r="A278" i="21"/>
  <c r="A278" i="9"/>
  <c r="C281" i="29"/>
  <c r="C281" i="21"/>
  <c r="C281" i="9"/>
  <c r="A282" i="21"/>
  <c r="A282" i="29"/>
  <c r="A282" i="9"/>
  <c r="C285" i="29"/>
  <c r="C285" i="21"/>
  <c r="C285" i="9"/>
  <c r="A286" i="29"/>
  <c r="A286" i="21"/>
  <c r="A286" i="9"/>
  <c r="C289" i="29"/>
  <c r="C289" i="21"/>
  <c r="C289" i="9"/>
  <c r="A290" i="29"/>
  <c r="A290" i="21"/>
  <c r="A290" i="9"/>
  <c r="C293" i="29"/>
  <c r="C293" i="21"/>
  <c r="C293" i="9"/>
  <c r="A294" i="29"/>
  <c r="A294" i="21"/>
  <c r="A294" i="9"/>
  <c r="C297" i="29"/>
  <c r="C297" i="21"/>
  <c r="C297" i="9"/>
  <c r="A298" i="21"/>
  <c r="A298" i="29"/>
  <c r="A298" i="9"/>
  <c r="C301" i="29"/>
  <c r="C301" i="21"/>
  <c r="C301" i="9"/>
  <c r="A302" i="29"/>
  <c r="A302" i="21"/>
  <c r="A302" i="9"/>
  <c r="C305" i="29"/>
  <c r="C305" i="21"/>
  <c r="C305" i="9"/>
  <c r="A306" i="29"/>
  <c r="A306" i="21"/>
  <c r="A306" i="9"/>
  <c r="B194" i="29"/>
  <c r="B194" i="21"/>
  <c r="B194" i="9"/>
  <c r="B198" i="29"/>
  <c r="B198" i="21"/>
  <c r="B198" i="9"/>
  <c r="B202" i="29"/>
  <c r="B202" i="21"/>
  <c r="B202" i="9"/>
  <c r="B206" i="29"/>
  <c r="B206" i="9"/>
  <c r="B206" i="21"/>
  <c r="B210" i="29"/>
  <c r="B210" i="21"/>
  <c r="B210" i="9"/>
  <c r="B214" i="29"/>
  <c r="B214" i="9"/>
  <c r="B214" i="21"/>
  <c r="B218" i="29"/>
  <c r="B218" i="21"/>
  <c r="B218" i="9"/>
  <c r="B222" i="29"/>
  <c r="B222" i="21"/>
  <c r="B222" i="9"/>
  <c r="B226" i="29"/>
  <c r="B226" i="21"/>
  <c r="B226" i="9"/>
  <c r="B230" i="29"/>
  <c r="B230" i="9"/>
  <c r="B230" i="21"/>
  <c r="B234" i="29"/>
  <c r="B234" i="21"/>
  <c r="B234" i="9"/>
  <c r="B238" i="29"/>
  <c r="B238" i="9"/>
  <c r="B238" i="21"/>
  <c r="B242" i="29"/>
  <c r="B242" i="21"/>
  <c r="B242" i="9"/>
  <c r="B246" i="29"/>
  <c r="B246" i="9"/>
  <c r="B246" i="21"/>
  <c r="B250" i="29"/>
  <c r="B250" i="21"/>
  <c r="B250" i="9"/>
  <c r="B254" i="29"/>
  <c r="B254" i="9"/>
  <c r="B254" i="21"/>
  <c r="B258" i="29"/>
  <c r="B258" i="21"/>
  <c r="B258" i="9"/>
  <c r="B262" i="29"/>
  <c r="B262" i="21"/>
  <c r="B262" i="9"/>
  <c r="B266" i="29"/>
  <c r="B266" i="21"/>
  <c r="B266" i="9"/>
  <c r="B270" i="29"/>
  <c r="B270" i="9"/>
  <c r="B270" i="21"/>
  <c r="B274" i="29"/>
  <c r="B274" i="21"/>
  <c r="B274" i="9"/>
  <c r="B278" i="29"/>
  <c r="B278" i="9"/>
  <c r="B278" i="21"/>
  <c r="B282" i="29"/>
  <c r="B282" i="21"/>
  <c r="B282" i="9"/>
  <c r="B286" i="29"/>
  <c r="B286" i="21"/>
  <c r="B286" i="9"/>
  <c r="B290" i="29"/>
  <c r="B290" i="21"/>
  <c r="B290" i="9"/>
  <c r="B294" i="29"/>
  <c r="B294" i="9"/>
  <c r="B294" i="21"/>
  <c r="B298" i="29"/>
  <c r="B298" i="21"/>
  <c r="B298" i="9"/>
  <c r="B302" i="29"/>
  <c r="B302" i="9"/>
  <c r="B302" i="21"/>
  <c r="B306" i="29"/>
  <c r="B306" i="21"/>
  <c r="B306" i="9"/>
  <c r="AC308" i="53"/>
  <c r="B22" i="29"/>
  <c r="B22" i="21"/>
  <c r="B22" i="9"/>
  <c r="B26" i="29"/>
  <c r="B26" i="21"/>
  <c r="B26" i="9"/>
  <c r="B66" i="29"/>
  <c r="B66" i="21"/>
  <c r="B66" i="9"/>
  <c r="B70" i="29"/>
  <c r="B70" i="21"/>
  <c r="B70" i="9"/>
  <c r="B86" i="29"/>
  <c r="B86" i="21"/>
  <c r="B86" i="9"/>
  <c r="B90" i="29"/>
  <c r="B90" i="21"/>
  <c r="B90" i="9"/>
  <c r="B102" i="29"/>
  <c r="B102" i="21"/>
  <c r="B102" i="9"/>
  <c r="B122" i="29"/>
  <c r="B122" i="21"/>
  <c r="B122" i="9"/>
  <c r="B150" i="29"/>
  <c r="B150" i="21"/>
  <c r="B150" i="9"/>
  <c r="B170" i="29"/>
  <c r="B170" i="21"/>
  <c r="B170" i="9"/>
  <c r="B178" i="29"/>
  <c r="B178" i="21"/>
  <c r="B178" i="9"/>
  <c r="B186" i="29"/>
  <c r="B186" i="21"/>
  <c r="B186" i="9"/>
  <c r="B190" i="29"/>
  <c r="B190" i="21"/>
  <c r="B190" i="9"/>
  <c r="C10" i="29"/>
  <c r="C10" i="21"/>
  <c r="C10" i="9"/>
  <c r="A11" i="29"/>
  <c r="A11" i="21"/>
  <c r="A11" i="9"/>
  <c r="C14" i="29"/>
  <c r="C14" i="21"/>
  <c r="C14" i="9"/>
  <c r="A15" i="29"/>
  <c r="A15" i="21"/>
  <c r="A15" i="9"/>
  <c r="C18" i="29"/>
  <c r="C18" i="21"/>
  <c r="C18" i="9"/>
  <c r="A19" i="29"/>
  <c r="A19" i="21"/>
  <c r="A19" i="9"/>
  <c r="C22" i="29"/>
  <c r="C22" i="21"/>
  <c r="C22" i="9"/>
  <c r="A23" i="29"/>
  <c r="A23" i="21"/>
  <c r="A23" i="9"/>
  <c r="C26" i="29"/>
  <c r="C26" i="21"/>
  <c r="C26" i="9"/>
  <c r="A27" i="29"/>
  <c r="A27" i="21"/>
  <c r="A27" i="9"/>
  <c r="C30" i="29"/>
  <c r="C30" i="21"/>
  <c r="C30" i="9"/>
  <c r="A31" i="21"/>
  <c r="A31" i="29"/>
  <c r="A31" i="9"/>
  <c r="C34" i="29"/>
  <c r="C34" i="21"/>
  <c r="C34" i="9"/>
  <c r="A35" i="29"/>
  <c r="A35" i="9"/>
  <c r="A35" i="21"/>
  <c r="C38" i="29"/>
  <c r="C38" i="21"/>
  <c r="C38" i="9"/>
  <c r="A39" i="29"/>
  <c r="A39" i="21"/>
  <c r="A39" i="9"/>
  <c r="C42" i="29"/>
  <c r="C42" i="21"/>
  <c r="C42" i="9"/>
  <c r="A43" i="29"/>
  <c r="A43" i="9"/>
  <c r="A43" i="21"/>
  <c r="C46" i="29"/>
  <c r="C46" i="21"/>
  <c r="C46" i="9"/>
  <c r="A47" i="29"/>
  <c r="A47" i="21"/>
  <c r="A47" i="9"/>
  <c r="C50" i="29"/>
  <c r="C50" i="9"/>
  <c r="C50" i="21"/>
  <c r="A51" i="29"/>
  <c r="A51" i="21"/>
  <c r="A51" i="9"/>
  <c r="C54" i="29"/>
  <c r="C54" i="21"/>
  <c r="C54" i="9"/>
  <c r="A55" i="29"/>
  <c r="A55" i="21"/>
  <c r="A55" i="9"/>
  <c r="C58" i="29"/>
  <c r="C58" i="21"/>
  <c r="C58" i="9"/>
  <c r="A59" i="29"/>
  <c r="A59" i="21"/>
  <c r="A59" i="9"/>
  <c r="C62" i="29"/>
  <c r="C62" i="21"/>
  <c r="C62" i="9"/>
  <c r="A63" i="29"/>
  <c r="A63" i="21"/>
  <c r="A63" i="9"/>
  <c r="C66" i="29"/>
  <c r="C66" i="21"/>
  <c r="C66" i="9"/>
  <c r="A67" i="29"/>
  <c r="A67" i="21"/>
  <c r="A67" i="9"/>
  <c r="C70" i="29"/>
  <c r="C70" i="21"/>
  <c r="C70" i="9"/>
  <c r="A71" i="29"/>
  <c r="A71" i="21"/>
  <c r="A71" i="9"/>
  <c r="C74" i="29"/>
  <c r="C74" i="21"/>
  <c r="C74" i="9"/>
  <c r="A75" i="29"/>
  <c r="A75" i="21"/>
  <c r="A75" i="9"/>
  <c r="C78" i="29"/>
  <c r="C78" i="21"/>
  <c r="C78" i="9"/>
  <c r="A79" i="29"/>
  <c r="A79" i="21"/>
  <c r="A79" i="9"/>
  <c r="C82" i="29"/>
  <c r="C82" i="21"/>
  <c r="C82" i="9"/>
  <c r="A83" i="29"/>
  <c r="A83" i="21"/>
  <c r="A83" i="9"/>
  <c r="C86" i="29"/>
  <c r="C86" i="21"/>
  <c r="C86" i="9"/>
  <c r="A87" i="29"/>
  <c r="A87" i="21"/>
  <c r="A87" i="9"/>
  <c r="C90" i="29"/>
  <c r="C90" i="21"/>
  <c r="C90" i="9"/>
  <c r="A91" i="29"/>
  <c r="A91" i="21"/>
  <c r="A91" i="9"/>
  <c r="C94" i="29"/>
  <c r="C94" i="21"/>
  <c r="C94" i="9"/>
  <c r="A95" i="21"/>
  <c r="A95" i="29"/>
  <c r="A95" i="9"/>
  <c r="C98" i="29"/>
  <c r="C98" i="21"/>
  <c r="C98" i="9"/>
  <c r="A99" i="29"/>
  <c r="A99" i="9"/>
  <c r="A99" i="21"/>
  <c r="C102" i="29"/>
  <c r="C102" i="21"/>
  <c r="C102" i="9"/>
  <c r="A103" i="29"/>
  <c r="A103" i="21"/>
  <c r="A103" i="9"/>
  <c r="C106" i="29"/>
  <c r="C106" i="21"/>
  <c r="C106" i="9"/>
  <c r="A107" i="29"/>
  <c r="A107" i="9"/>
  <c r="A107" i="21"/>
  <c r="C110" i="29"/>
  <c r="C110" i="9"/>
  <c r="C110" i="21"/>
  <c r="A111" i="21"/>
  <c r="A111" i="9"/>
  <c r="A111" i="29"/>
  <c r="C114" i="29"/>
  <c r="C114" i="21"/>
  <c r="C114" i="9"/>
  <c r="A115" i="29"/>
  <c r="A115" i="21"/>
  <c r="A115" i="9"/>
  <c r="C118" i="29"/>
  <c r="C118" i="21"/>
  <c r="C118" i="9"/>
  <c r="A119" i="29"/>
  <c r="A119" i="21"/>
  <c r="A119" i="9"/>
  <c r="C122" i="29"/>
  <c r="C122" i="21"/>
  <c r="C122" i="9"/>
  <c r="A123" i="29"/>
  <c r="A123" i="9"/>
  <c r="A123" i="21"/>
  <c r="C126" i="29"/>
  <c r="C126" i="9"/>
  <c r="C126" i="21"/>
  <c r="A127" i="29"/>
  <c r="A127" i="21"/>
  <c r="A127" i="9"/>
  <c r="C130" i="29"/>
  <c r="C130" i="21"/>
  <c r="C130" i="9"/>
  <c r="A131" i="29"/>
  <c r="A131" i="21"/>
  <c r="A131" i="9"/>
  <c r="C134" i="29"/>
  <c r="C134" i="21"/>
  <c r="C134" i="9"/>
  <c r="A135" i="29"/>
  <c r="A135" i="21"/>
  <c r="A135" i="9"/>
  <c r="C138" i="29"/>
  <c r="C138" i="21"/>
  <c r="C138" i="9"/>
  <c r="A139" i="29"/>
  <c r="A139" i="9"/>
  <c r="A139" i="21"/>
  <c r="C142" i="29"/>
  <c r="C142" i="9"/>
  <c r="C142" i="21"/>
  <c r="A143" i="29"/>
  <c r="A143" i="21"/>
  <c r="A143" i="9"/>
  <c r="C146" i="21"/>
  <c r="C146" i="29"/>
  <c r="C146" i="9"/>
  <c r="A147" i="29"/>
  <c r="A147" i="21"/>
  <c r="A147" i="9"/>
  <c r="C150" i="29"/>
  <c r="C150" i="9"/>
  <c r="C150" i="21"/>
  <c r="A151" i="29"/>
  <c r="A151" i="21"/>
  <c r="A151" i="9"/>
  <c r="C154" i="29"/>
  <c r="C154" i="21"/>
  <c r="C154" i="9"/>
  <c r="A155" i="29"/>
  <c r="A155" i="21"/>
  <c r="A155" i="9"/>
  <c r="C158" i="29"/>
  <c r="C158" i="21"/>
  <c r="C158" i="9"/>
  <c r="A159" i="29"/>
  <c r="A159" i="21"/>
  <c r="A159" i="9"/>
  <c r="C162" i="29"/>
  <c r="C162" i="21"/>
  <c r="C162" i="9"/>
  <c r="A163" i="29"/>
  <c r="A163" i="21"/>
  <c r="A163" i="9"/>
  <c r="C166" i="21"/>
  <c r="C166" i="9"/>
  <c r="C166" i="29"/>
  <c r="A167" i="29"/>
  <c r="A167" i="21"/>
  <c r="A167" i="9"/>
  <c r="C170" i="29"/>
  <c r="C170" i="21"/>
  <c r="C170" i="9"/>
  <c r="A171" i="29"/>
  <c r="A171" i="21"/>
  <c r="A171" i="9"/>
  <c r="C174" i="29"/>
  <c r="C174" i="21"/>
  <c r="C174" i="9"/>
  <c r="A175" i="29"/>
  <c r="A175" i="21"/>
  <c r="A175" i="9"/>
  <c r="C178" i="29"/>
  <c r="C178" i="21"/>
  <c r="C178" i="9"/>
  <c r="A179" i="29"/>
  <c r="A179" i="21"/>
  <c r="A179" i="9"/>
  <c r="C182" i="21"/>
  <c r="C182" i="9"/>
  <c r="C182" i="29"/>
  <c r="A183" i="29"/>
  <c r="A183" i="21"/>
  <c r="A183" i="9"/>
  <c r="C186" i="29"/>
  <c r="C186" i="21"/>
  <c r="C186" i="9"/>
  <c r="A187" i="29"/>
  <c r="A187" i="21"/>
  <c r="A187" i="9"/>
  <c r="C190" i="21"/>
  <c r="C190" i="9"/>
  <c r="C190" i="29"/>
  <c r="A191" i="29"/>
  <c r="A191" i="21"/>
  <c r="A191" i="9"/>
  <c r="C194" i="29"/>
  <c r="C194" i="21"/>
  <c r="C194" i="9"/>
  <c r="A195" i="29"/>
  <c r="A195" i="21"/>
  <c r="A195" i="9"/>
  <c r="C198" i="29"/>
  <c r="C198" i="21"/>
  <c r="C198" i="9"/>
  <c r="A199" i="29"/>
  <c r="A199" i="21"/>
  <c r="A199" i="9"/>
  <c r="C202" i="29"/>
  <c r="C202" i="21"/>
  <c r="C202" i="9"/>
  <c r="A203" i="29"/>
  <c r="A203" i="21"/>
  <c r="A203" i="9"/>
  <c r="C206" i="29"/>
  <c r="C206" i="21"/>
  <c r="C206" i="9"/>
  <c r="A207" i="29"/>
  <c r="A207" i="21"/>
  <c r="A207" i="9"/>
  <c r="C210" i="21"/>
  <c r="C210" i="29"/>
  <c r="C210" i="9"/>
  <c r="A211" i="29"/>
  <c r="A211" i="21"/>
  <c r="A211" i="9"/>
  <c r="C214" i="29"/>
  <c r="C214" i="21"/>
  <c r="C214" i="9"/>
  <c r="A215" i="29"/>
  <c r="A215" i="21"/>
  <c r="A215" i="9"/>
  <c r="C218" i="29"/>
  <c r="C218" i="21"/>
  <c r="C218" i="9"/>
  <c r="A219" i="29"/>
  <c r="A219" i="21"/>
  <c r="A219" i="9"/>
  <c r="C222" i="29"/>
  <c r="C222" i="21"/>
  <c r="C222" i="9"/>
  <c r="A223" i="29"/>
  <c r="A223" i="21"/>
  <c r="A223" i="9"/>
  <c r="C226" i="29"/>
  <c r="C226" i="21"/>
  <c r="C226" i="9"/>
  <c r="A227" i="29"/>
  <c r="A227" i="21"/>
  <c r="A227" i="9"/>
  <c r="C230" i="21"/>
  <c r="C230" i="29"/>
  <c r="C230" i="9"/>
  <c r="A231" i="29"/>
  <c r="A231" i="21"/>
  <c r="A231" i="9"/>
  <c r="C234" i="29"/>
  <c r="C234" i="21"/>
  <c r="C234" i="9"/>
  <c r="A235" i="29"/>
  <c r="A235" i="21"/>
  <c r="A235" i="9"/>
  <c r="C238" i="29"/>
  <c r="C238" i="21"/>
  <c r="C238" i="9"/>
  <c r="A239" i="29"/>
  <c r="A239" i="21"/>
  <c r="A239" i="9"/>
  <c r="C242" i="29"/>
  <c r="C242" i="21"/>
  <c r="C242" i="9"/>
  <c r="A243" i="29"/>
  <c r="A243" i="21"/>
  <c r="A243" i="9"/>
  <c r="C246" i="21"/>
  <c r="C246" i="29"/>
  <c r="C246" i="9"/>
  <c r="A247" i="29"/>
  <c r="A247" i="21"/>
  <c r="A247" i="9"/>
  <c r="C250" i="29"/>
  <c r="C250" i="21"/>
  <c r="C250" i="9"/>
  <c r="A251" i="29"/>
  <c r="A251" i="21"/>
  <c r="A251" i="9"/>
  <c r="C254" i="21"/>
  <c r="C254" i="29"/>
  <c r="C254" i="9"/>
  <c r="A255" i="29"/>
  <c r="A255" i="21"/>
  <c r="A255" i="9"/>
  <c r="C258" i="29"/>
  <c r="C258" i="21"/>
  <c r="C258" i="9"/>
  <c r="A259" i="29"/>
  <c r="A259" i="21"/>
  <c r="A259" i="9"/>
  <c r="C262" i="29"/>
  <c r="C262" i="21"/>
  <c r="C262" i="9"/>
  <c r="A263" i="29"/>
  <c r="A263" i="21"/>
  <c r="A263" i="9"/>
  <c r="C266" i="29"/>
  <c r="C266" i="21"/>
  <c r="C266" i="9"/>
  <c r="A267" i="29"/>
  <c r="A267" i="21"/>
  <c r="A267" i="9"/>
  <c r="C270" i="29"/>
  <c r="C270" i="21"/>
  <c r="C270" i="9"/>
  <c r="A271" i="29"/>
  <c r="A271" i="21"/>
  <c r="A271" i="9"/>
  <c r="C274" i="29"/>
  <c r="C274" i="21"/>
  <c r="C274" i="9"/>
  <c r="A275" i="29"/>
  <c r="A275" i="21"/>
  <c r="A275" i="9"/>
  <c r="C278" i="29"/>
  <c r="C278" i="21"/>
  <c r="C278" i="9"/>
  <c r="A279" i="29"/>
  <c r="A279" i="21"/>
  <c r="A279" i="9"/>
  <c r="C282" i="21"/>
  <c r="C282" i="29"/>
  <c r="C282" i="9"/>
  <c r="A283" i="29"/>
  <c r="A283" i="21"/>
  <c r="A283" i="9"/>
  <c r="C286" i="29"/>
  <c r="C286" i="21"/>
  <c r="C286" i="9"/>
  <c r="A287" i="29"/>
  <c r="A287" i="21"/>
  <c r="A287" i="9"/>
  <c r="C290" i="29"/>
  <c r="C290" i="21"/>
  <c r="C290" i="9"/>
  <c r="A291" i="29"/>
  <c r="A291" i="21"/>
  <c r="A291" i="9"/>
  <c r="C294" i="21"/>
  <c r="C294" i="29"/>
  <c r="C294" i="9"/>
  <c r="A295" i="29"/>
  <c r="A295" i="21"/>
  <c r="A295" i="9"/>
  <c r="C298" i="29"/>
  <c r="C298" i="21"/>
  <c r="C298" i="9"/>
  <c r="A299" i="21"/>
  <c r="A299" i="29"/>
  <c r="A299" i="9"/>
  <c r="C302" i="29"/>
  <c r="C302" i="21"/>
  <c r="C302" i="9"/>
  <c r="A303" i="29"/>
  <c r="A303" i="21"/>
  <c r="A303" i="9"/>
  <c r="C306" i="29"/>
  <c r="C306" i="21"/>
  <c r="C306" i="9"/>
  <c r="A307" i="29"/>
  <c r="A307" i="21"/>
  <c r="A307" i="9"/>
  <c r="C8" i="21"/>
  <c r="C8" i="29"/>
  <c r="C8" i="9"/>
  <c r="B14" i="29"/>
  <c r="B14" i="21"/>
  <c r="B14" i="9"/>
  <c r="B18" i="29"/>
  <c r="B18" i="21"/>
  <c r="B18" i="9"/>
  <c r="B30" i="29"/>
  <c r="B30" i="21"/>
  <c r="B30" i="9"/>
  <c r="B54" i="29"/>
  <c r="B54" i="21"/>
  <c r="B54" i="9"/>
  <c r="B74" i="29"/>
  <c r="B74" i="21"/>
  <c r="B74" i="9"/>
  <c r="B78" i="29"/>
  <c r="B78" i="21"/>
  <c r="B78" i="9"/>
  <c r="B106" i="29"/>
  <c r="B106" i="21"/>
  <c r="B106" i="9"/>
  <c r="B126" i="29"/>
  <c r="B126" i="21"/>
  <c r="B126" i="9"/>
  <c r="B130" i="29"/>
  <c r="B130" i="21"/>
  <c r="B130" i="9"/>
  <c r="B142" i="29"/>
  <c r="B142" i="21"/>
  <c r="B142" i="9"/>
  <c r="B146" i="29"/>
  <c r="B146" i="21"/>
  <c r="B146" i="9"/>
  <c r="B11" i="29"/>
  <c r="B11" i="21"/>
  <c r="B11" i="9"/>
  <c r="B23" i="29"/>
  <c r="B23" i="21"/>
  <c r="B23" i="9"/>
  <c r="B27" i="29"/>
  <c r="B27" i="21"/>
  <c r="B27" i="9"/>
  <c r="B31" i="29"/>
  <c r="B31" i="21"/>
  <c r="B31" i="9"/>
  <c r="B35" i="29"/>
  <c r="B35" i="21"/>
  <c r="B35" i="9"/>
  <c r="B39" i="29"/>
  <c r="B39" i="21"/>
  <c r="B39" i="9"/>
  <c r="B43" i="21"/>
  <c r="B43" i="29"/>
  <c r="B43" i="9"/>
  <c r="B47" i="29"/>
  <c r="B47" i="9"/>
  <c r="B47" i="21"/>
  <c r="B51" i="29"/>
  <c r="B51" i="21"/>
  <c r="B51" i="9"/>
  <c r="B55" i="29"/>
  <c r="B55" i="9"/>
  <c r="B55" i="21"/>
  <c r="B59" i="29"/>
  <c r="B59" i="21"/>
  <c r="B59" i="9"/>
  <c r="B63" i="29"/>
  <c r="B63" i="9"/>
  <c r="B63" i="21"/>
  <c r="B67" i="29"/>
  <c r="B67" i="21"/>
  <c r="B67" i="9"/>
  <c r="B71" i="29"/>
  <c r="B71" i="9"/>
  <c r="B71" i="21"/>
  <c r="B75" i="21"/>
  <c r="B75" i="29"/>
  <c r="B75" i="9"/>
  <c r="B79" i="29"/>
  <c r="B79" i="9"/>
  <c r="B79" i="21"/>
  <c r="B83" i="29"/>
  <c r="B83" i="21"/>
  <c r="B83" i="9"/>
  <c r="B87" i="21"/>
  <c r="B87" i="9"/>
  <c r="B87" i="29"/>
  <c r="B91" i="29"/>
  <c r="B91" i="21"/>
  <c r="B91" i="9"/>
  <c r="B95" i="29"/>
  <c r="B95" i="21"/>
  <c r="B95" i="9"/>
  <c r="B99" i="29"/>
  <c r="B99" i="21"/>
  <c r="B99" i="9"/>
  <c r="B103" i="29"/>
  <c r="B103" i="21"/>
  <c r="B103" i="9"/>
  <c r="B107" i="21"/>
  <c r="B107" i="29"/>
  <c r="B107" i="9"/>
  <c r="B111" i="29"/>
  <c r="B111" i="9"/>
  <c r="B111" i="21"/>
  <c r="B115" i="29"/>
  <c r="B115" i="21"/>
  <c r="B115" i="9"/>
  <c r="B119" i="29"/>
  <c r="B119" i="21"/>
  <c r="B119" i="9"/>
  <c r="B123" i="21"/>
  <c r="B123" i="29"/>
  <c r="B123" i="9"/>
  <c r="B127" i="9"/>
  <c r="B127" i="21"/>
  <c r="B127" i="29"/>
  <c r="B131" i="29"/>
  <c r="B131" i="21"/>
  <c r="B131" i="9"/>
  <c r="B135" i="29"/>
  <c r="B135" i="21"/>
  <c r="B135" i="9"/>
  <c r="B139" i="29"/>
  <c r="B139" i="21"/>
  <c r="B139" i="9"/>
  <c r="B143" i="29"/>
  <c r="B143" i="9"/>
  <c r="B143" i="21"/>
  <c r="B147" i="29"/>
  <c r="B147" i="21"/>
  <c r="B147" i="9"/>
  <c r="B151" i="29"/>
  <c r="B151" i="21"/>
  <c r="B151" i="9"/>
  <c r="B155" i="29"/>
  <c r="B155" i="21"/>
  <c r="B155" i="9"/>
  <c r="B159" i="29"/>
  <c r="B159" i="21"/>
  <c r="B159" i="9"/>
  <c r="B163" i="29"/>
  <c r="B163" i="21"/>
  <c r="B163" i="9"/>
  <c r="B167" i="29"/>
  <c r="B167" i="21"/>
  <c r="B167" i="9"/>
  <c r="B171" i="29"/>
  <c r="B171" i="21"/>
  <c r="B171" i="9"/>
  <c r="B175" i="29"/>
  <c r="B175" i="21"/>
  <c r="B175" i="9"/>
  <c r="B179" i="29"/>
  <c r="B179" i="21"/>
  <c r="B179" i="9"/>
  <c r="B183" i="21"/>
  <c r="B183" i="9"/>
  <c r="B183" i="29"/>
  <c r="B187" i="29"/>
  <c r="B187" i="21"/>
  <c r="B187" i="9"/>
  <c r="B191" i="29"/>
  <c r="B191" i="21"/>
  <c r="B191" i="9"/>
  <c r="B195" i="29"/>
  <c r="B195" i="21"/>
  <c r="B195" i="9"/>
  <c r="B199" i="29"/>
  <c r="B199" i="21"/>
  <c r="B199" i="9"/>
  <c r="B203" i="29"/>
  <c r="B203" i="21"/>
  <c r="B203" i="9"/>
  <c r="B207" i="29"/>
  <c r="B207" i="21"/>
  <c r="B207" i="9"/>
  <c r="B211" i="29"/>
  <c r="B211" i="21"/>
  <c r="B211" i="9"/>
  <c r="B215" i="29"/>
  <c r="B215" i="21"/>
  <c r="B215" i="9"/>
  <c r="B219" i="29"/>
  <c r="B219" i="21"/>
  <c r="B219" i="9"/>
  <c r="B223" i="21"/>
  <c r="B223" i="29"/>
  <c r="B223" i="9"/>
  <c r="B227" i="29"/>
  <c r="B227" i="21"/>
  <c r="B227" i="9"/>
  <c r="B231" i="29"/>
  <c r="B231" i="21"/>
  <c r="B231" i="9"/>
  <c r="B235" i="29"/>
  <c r="B235" i="21"/>
  <c r="B235" i="9"/>
  <c r="B239" i="21"/>
  <c r="B239" i="29"/>
  <c r="B239" i="9"/>
  <c r="B243" i="29"/>
  <c r="B243" i="21"/>
  <c r="B243" i="9"/>
  <c r="B247" i="21"/>
  <c r="B247" i="29"/>
  <c r="B247" i="9"/>
  <c r="B251" i="29"/>
  <c r="B251" i="21"/>
  <c r="B251" i="9"/>
  <c r="B255" i="29"/>
  <c r="B255" i="21"/>
  <c r="B255" i="9"/>
  <c r="B259" i="29"/>
  <c r="B259" i="21"/>
  <c r="B259" i="9"/>
  <c r="B263" i="29"/>
  <c r="B263" i="21"/>
  <c r="B263" i="9"/>
  <c r="B267" i="29"/>
  <c r="B267" i="21"/>
  <c r="B267" i="9"/>
  <c r="B271" i="29"/>
  <c r="B271" i="21"/>
  <c r="B271" i="9"/>
  <c r="B275" i="29"/>
  <c r="B275" i="21"/>
  <c r="B275" i="9"/>
  <c r="B279" i="29"/>
  <c r="B279" i="21"/>
  <c r="B279" i="9"/>
  <c r="B283" i="29"/>
  <c r="B283" i="21"/>
  <c r="B283" i="9"/>
  <c r="B287" i="21"/>
  <c r="B287" i="29"/>
  <c r="B287" i="9"/>
  <c r="B291" i="29"/>
  <c r="B291" i="21"/>
  <c r="B291" i="9"/>
  <c r="B295" i="29"/>
  <c r="B295" i="21"/>
  <c r="B295" i="9"/>
  <c r="B299" i="29"/>
  <c r="B299" i="21"/>
  <c r="B299" i="9"/>
  <c r="B303" i="29"/>
  <c r="B303" i="21"/>
  <c r="B303" i="9"/>
  <c r="B307" i="29"/>
  <c r="B307" i="21"/>
  <c r="B307" i="9"/>
  <c r="B12" i="29"/>
  <c r="B12" i="21"/>
  <c r="B12" i="9"/>
  <c r="B10" i="29"/>
  <c r="B10" i="21"/>
  <c r="B10" i="9"/>
  <c r="B34" i="29"/>
  <c r="B34" i="21"/>
  <c r="B34" i="9"/>
  <c r="B38" i="29"/>
  <c r="B38" i="21"/>
  <c r="B38" i="9"/>
  <c r="B42" i="29"/>
  <c r="B42" i="21"/>
  <c r="B42" i="9"/>
  <c r="B46" i="29"/>
  <c r="B46" i="21"/>
  <c r="B46" i="9"/>
  <c r="B50" i="29"/>
  <c r="B50" i="21"/>
  <c r="B50" i="9"/>
  <c r="B58" i="29"/>
  <c r="B58" i="21"/>
  <c r="B58" i="9"/>
  <c r="B62" i="29"/>
  <c r="B62" i="21"/>
  <c r="B62" i="9"/>
  <c r="B82" i="29"/>
  <c r="B82" i="21"/>
  <c r="B82" i="9"/>
  <c r="B94" i="29"/>
  <c r="B94" i="21"/>
  <c r="B94" i="9"/>
  <c r="B98" i="29"/>
  <c r="B98" i="21"/>
  <c r="B98" i="9"/>
  <c r="B110" i="29"/>
  <c r="B110" i="21"/>
  <c r="B110" i="9"/>
  <c r="B114" i="29"/>
  <c r="B114" i="21"/>
  <c r="B114" i="9"/>
  <c r="B118" i="29"/>
  <c r="B118" i="21"/>
  <c r="B118" i="9"/>
  <c r="B134" i="29"/>
  <c r="B134" i="21"/>
  <c r="B134" i="9"/>
  <c r="B138" i="29"/>
  <c r="B138" i="21"/>
  <c r="B138" i="9"/>
  <c r="B154" i="29"/>
  <c r="B154" i="21"/>
  <c r="B154" i="9"/>
  <c r="B158" i="29"/>
  <c r="B158" i="21"/>
  <c r="B158" i="9"/>
  <c r="B162" i="29"/>
  <c r="B162" i="21"/>
  <c r="B162" i="9"/>
  <c r="B166" i="29"/>
  <c r="B166" i="21"/>
  <c r="B166" i="9"/>
  <c r="B174" i="29"/>
  <c r="B174" i="9"/>
  <c r="B174" i="21"/>
  <c r="B182" i="29"/>
  <c r="B182" i="9"/>
  <c r="B182" i="21"/>
  <c r="B15" i="29"/>
  <c r="B15" i="9"/>
  <c r="B15" i="21"/>
  <c r="B19" i="29"/>
  <c r="B19" i="21"/>
  <c r="B19" i="9"/>
  <c r="C11" i="29"/>
  <c r="C11" i="21"/>
  <c r="C11" i="9"/>
  <c r="A12" i="29"/>
  <c r="A12" i="21"/>
  <c r="A12" i="9"/>
  <c r="C15" i="29"/>
  <c r="C15" i="21"/>
  <c r="C15" i="9"/>
  <c r="A16" i="29"/>
  <c r="A16" i="21"/>
  <c r="A16" i="9"/>
  <c r="C19" i="29"/>
  <c r="C19" i="21"/>
  <c r="C19" i="9"/>
  <c r="A20" i="29"/>
  <c r="A20" i="21"/>
  <c r="A20" i="9"/>
  <c r="C23" i="29"/>
  <c r="C23" i="21"/>
  <c r="C23" i="9"/>
  <c r="A24" i="29"/>
  <c r="A24" i="21"/>
  <c r="A24" i="9"/>
  <c r="C27" i="29"/>
  <c r="C27" i="21"/>
  <c r="C27" i="9"/>
  <c r="A28" i="29"/>
  <c r="A28" i="21"/>
  <c r="A28" i="9"/>
  <c r="C31" i="29"/>
  <c r="C31" i="21"/>
  <c r="C31" i="9"/>
  <c r="A32" i="29"/>
  <c r="A32" i="21"/>
  <c r="A32" i="9"/>
  <c r="C35" i="29"/>
  <c r="C35" i="21"/>
  <c r="C35" i="9"/>
  <c r="A36" i="29"/>
  <c r="A36" i="21"/>
  <c r="A36" i="9"/>
  <c r="C39" i="29"/>
  <c r="C39" i="21"/>
  <c r="C39" i="9"/>
  <c r="A40" i="29"/>
  <c r="A40" i="21"/>
  <c r="A40" i="9"/>
  <c r="C43" i="29"/>
  <c r="C43" i="21"/>
  <c r="C43" i="9"/>
  <c r="A44" i="29"/>
  <c r="A44" i="21"/>
  <c r="A44" i="9"/>
  <c r="C47" i="29"/>
  <c r="C47" i="9"/>
  <c r="A48" i="29"/>
  <c r="A48" i="21"/>
  <c r="A48" i="9"/>
  <c r="C51" i="29"/>
  <c r="C51" i="21"/>
  <c r="C51" i="9"/>
  <c r="A52" i="29"/>
  <c r="A52" i="21"/>
  <c r="A52" i="9"/>
  <c r="C55" i="29"/>
  <c r="C55" i="21"/>
  <c r="C55" i="9"/>
  <c r="A56" i="29"/>
  <c r="A56" i="21"/>
  <c r="A56" i="9"/>
  <c r="C59" i="29"/>
  <c r="C59" i="21"/>
  <c r="C59" i="9"/>
  <c r="A60" i="29"/>
  <c r="A60" i="21"/>
  <c r="A60" i="9"/>
  <c r="C63" i="29"/>
  <c r="C63" i="21"/>
  <c r="C63" i="9"/>
  <c r="A64" i="29"/>
  <c r="A64" i="21"/>
  <c r="A64" i="9"/>
  <c r="C67" i="29"/>
  <c r="C67" i="21"/>
  <c r="C67" i="9"/>
  <c r="A68" i="29"/>
  <c r="A68" i="21"/>
  <c r="A68" i="9"/>
  <c r="C71" i="29"/>
  <c r="C71" i="21"/>
  <c r="C71" i="9"/>
  <c r="A72" i="29"/>
  <c r="A72" i="21"/>
  <c r="A72" i="9"/>
  <c r="C75" i="29"/>
  <c r="C75" i="21"/>
  <c r="C75" i="9"/>
  <c r="A76" i="29"/>
  <c r="A76" i="21"/>
  <c r="A76" i="9"/>
  <c r="C79" i="29"/>
  <c r="C79" i="21"/>
  <c r="C79" i="9"/>
  <c r="A80" i="29"/>
  <c r="A80" i="21"/>
  <c r="A80" i="9"/>
  <c r="C83" i="29"/>
  <c r="C83" i="21"/>
  <c r="C83" i="9"/>
  <c r="A84" i="29"/>
  <c r="A84" i="21"/>
  <c r="A84" i="9"/>
  <c r="C87" i="29"/>
  <c r="C87" i="21"/>
  <c r="C87" i="9"/>
  <c r="A88" i="29"/>
  <c r="A88" i="21"/>
  <c r="A88" i="9"/>
  <c r="C91" i="29"/>
  <c r="C91" i="21"/>
  <c r="C91" i="9"/>
  <c r="A92" i="29"/>
  <c r="A92" i="21"/>
  <c r="A92" i="9"/>
  <c r="C95" i="29"/>
  <c r="C95" i="21"/>
  <c r="C95" i="9"/>
  <c r="A96" i="29"/>
  <c r="A96" i="21"/>
  <c r="A96" i="9"/>
  <c r="C99" i="29"/>
  <c r="C99" i="21"/>
  <c r="C99" i="9"/>
  <c r="A100" i="29"/>
  <c r="A100" i="21"/>
  <c r="A100" i="9"/>
  <c r="C103" i="29"/>
  <c r="C103" i="21"/>
  <c r="C103" i="9"/>
  <c r="A104" i="29"/>
  <c r="A104" i="21"/>
  <c r="A104" i="9"/>
  <c r="C107" i="29"/>
  <c r="C107" i="21"/>
  <c r="C107" i="9"/>
  <c r="A108" i="29"/>
  <c r="A108" i="21"/>
  <c r="A108" i="9"/>
  <c r="C111" i="29"/>
  <c r="C111" i="21"/>
  <c r="C111" i="9"/>
  <c r="A112" i="29"/>
  <c r="A112" i="21"/>
  <c r="A112" i="9"/>
  <c r="C115" i="29"/>
  <c r="C115" i="21"/>
  <c r="C115" i="9"/>
  <c r="A116" i="29"/>
  <c r="A116" i="9"/>
  <c r="A116" i="21"/>
  <c r="C119" i="29"/>
  <c r="C119" i="21"/>
  <c r="C119" i="9"/>
  <c r="A120" i="29"/>
  <c r="A120" i="21"/>
  <c r="A120" i="9"/>
  <c r="C123" i="29"/>
  <c r="C123" i="21"/>
  <c r="C123" i="9"/>
  <c r="A124" i="29"/>
  <c r="A124" i="21"/>
  <c r="A124" i="9"/>
  <c r="C127" i="29"/>
  <c r="C127" i="21"/>
  <c r="C127" i="9"/>
  <c r="A128" i="29"/>
  <c r="A128" i="21"/>
  <c r="A128" i="9"/>
  <c r="C131" i="29"/>
  <c r="C131" i="21"/>
  <c r="C131" i="9"/>
  <c r="A132" i="29"/>
  <c r="A132" i="9"/>
  <c r="A132" i="21"/>
  <c r="C135" i="29"/>
  <c r="C135" i="21"/>
  <c r="C135" i="9"/>
  <c r="A136" i="29"/>
  <c r="A136" i="21"/>
  <c r="A136" i="9"/>
  <c r="C139" i="29"/>
  <c r="C139" i="21"/>
  <c r="C139" i="9"/>
  <c r="A140" i="21"/>
  <c r="A140" i="9"/>
  <c r="A140" i="29"/>
  <c r="C143" i="29"/>
  <c r="C143" i="21"/>
  <c r="C143" i="9"/>
  <c r="A144" i="29"/>
  <c r="A144" i="21"/>
  <c r="A144" i="9"/>
  <c r="C147" i="29"/>
  <c r="C147" i="21"/>
  <c r="C147" i="9"/>
  <c r="A148" i="9"/>
  <c r="A148" i="21"/>
  <c r="A148" i="29"/>
  <c r="C151" i="29"/>
  <c r="C151" i="21"/>
  <c r="C151" i="9"/>
  <c r="A152" i="21"/>
  <c r="A152" i="29"/>
  <c r="A152" i="9"/>
  <c r="C155" i="29"/>
  <c r="C155" i="21"/>
  <c r="C155" i="9"/>
  <c r="A156" i="29"/>
  <c r="A156" i="21"/>
  <c r="A156" i="9"/>
  <c r="C159" i="29"/>
  <c r="C159" i="21"/>
  <c r="C159" i="9"/>
  <c r="A160" i="29"/>
  <c r="A160" i="21"/>
  <c r="A160" i="9"/>
  <c r="C163" i="29"/>
  <c r="C163" i="9"/>
  <c r="C163" i="21"/>
  <c r="A164" i="29"/>
  <c r="A164" i="21"/>
  <c r="A164" i="9"/>
  <c r="C167" i="29"/>
  <c r="C167" i="21"/>
  <c r="C167" i="9"/>
  <c r="A168" i="21"/>
  <c r="A168" i="29"/>
  <c r="A168" i="9"/>
  <c r="C171" i="29"/>
  <c r="C171" i="9"/>
  <c r="C171" i="21"/>
  <c r="A172" i="29"/>
  <c r="A172" i="21"/>
  <c r="A172" i="9"/>
  <c r="C175" i="29"/>
  <c r="C175" i="21"/>
  <c r="C175" i="9"/>
  <c r="A176" i="29"/>
  <c r="A176" i="21"/>
  <c r="A176" i="9"/>
  <c r="C179" i="29"/>
  <c r="C179" i="21"/>
  <c r="C179" i="9"/>
  <c r="A180" i="29"/>
  <c r="A180" i="21"/>
  <c r="A180" i="9"/>
  <c r="C183" i="29"/>
  <c r="C183" i="21"/>
  <c r="C183" i="9"/>
  <c r="A184" i="29"/>
  <c r="A184" i="21"/>
  <c r="A184" i="9"/>
  <c r="C187" i="29"/>
  <c r="C187" i="21"/>
  <c r="C187" i="9"/>
  <c r="A188" i="21"/>
  <c r="A188" i="9"/>
  <c r="A188" i="29"/>
  <c r="C191" i="29"/>
  <c r="C191" i="21"/>
  <c r="C191" i="9"/>
  <c r="A192" i="29"/>
  <c r="A192" i="21"/>
  <c r="A192" i="9"/>
  <c r="C195" i="29"/>
  <c r="C195" i="9"/>
  <c r="C195" i="21"/>
  <c r="A196" i="29"/>
  <c r="A196" i="21"/>
  <c r="A196" i="9"/>
  <c r="C199" i="29"/>
  <c r="C199" i="21"/>
  <c r="C199" i="9"/>
  <c r="A200" i="29"/>
  <c r="A200" i="21"/>
  <c r="A200" i="9"/>
  <c r="C203" i="29"/>
  <c r="C203" i="9"/>
  <c r="C203" i="21"/>
  <c r="A204" i="21"/>
  <c r="A204" i="9"/>
  <c r="A204" i="29"/>
  <c r="C207" i="29"/>
  <c r="C207" i="21"/>
  <c r="C207" i="9"/>
  <c r="A208" i="29"/>
  <c r="A208" i="21"/>
  <c r="A208" i="9"/>
  <c r="C211" i="29"/>
  <c r="C211" i="9"/>
  <c r="C211" i="21"/>
  <c r="A212" i="29"/>
  <c r="A212" i="21"/>
  <c r="A212" i="9"/>
  <c r="C215" i="29"/>
  <c r="C215" i="21"/>
  <c r="C215" i="9"/>
  <c r="A216" i="29"/>
  <c r="A216" i="21"/>
  <c r="A216" i="9"/>
  <c r="C219" i="29"/>
  <c r="C219" i="21"/>
  <c r="C219" i="9"/>
  <c r="A220" i="29"/>
  <c r="A220" i="21"/>
  <c r="A220" i="9"/>
  <c r="C223" i="29"/>
  <c r="C223" i="21"/>
  <c r="C223" i="9"/>
  <c r="A224" i="29"/>
  <c r="A224" i="21"/>
  <c r="A224" i="9"/>
  <c r="C227" i="29"/>
  <c r="C227" i="9"/>
  <c r="C227" i="21"/>
  <c r="A228" i="29"/>
  <c r="A228" i="21"/>
  <c r="A228" i="9"/>
  <c r="C231" i="29"/>
  <c r="C231" i="21"/>
  <c r="C231" i="9"/>
  <c r="A232" i="29"/>
  <c r="A232" i="21"/>
  <c r="A232" i="9"/>
  <c r="C235" i="29"/>
  <c r="C235" i="9"/>
  <c r="C235" i="21"/>
  <c r="A236" i="29"/>
  <c r="A236" i="21"/>
  <c r="A236" i="9"/>
  <c r="C239" i="29"/>
  <c r="C239" i="21"/>
  <c r="C239" i="9"/>
  <c r="A240" i="29"/>
  <c r="A240" i="21"/>
  <c r="A240" i="9"/>
  <c r="C243" i="29"/>
  <c r="C243" i="21"/>
  <c r="C243" i="9"/>
  <c r="A244" i="29"/>
  <c r="A244" i="21"/>
  <c r="A244" i="9"/>
  <c r="C247" i="29"/>
  <c r="C247" i="21"/>
  <c r="C247" i="9"/>
  <c r="A248" i="29"/>
  <c r="A248" i="21"/>
  <c r="A248" i="9"/>
  <c r="C251" i="29"/>
  <c r="C251" i="9"/>
  <c r="C251" i="21"/>
  <c r="A252" i="29"/>
  <c r="A252" i="21"/>
  <c r="A252" i="9"/>
  <c r="C255" i="29"/>
  <c r="C255" i="21"/>
  <c r="C255" i="9"/>
  <c r="A256" i="29"/>
  <c r="A256" i="21"/>
  <c r="A256" i="9"/>
  <c r="C259" i="29"/>
  <c r="C259" i="9"/>
  <c r="C259" i="21"/>
  <c r="A260" i="29"/>
  <c r="A260" i="21"/>
  <c r="A260" i="9"/>
  <c r="C263" i="29"/>
  <c r="C263" i="21"/>
  <c r="C263" i="9"/>
  <c r="A264" i="29"/>
  <c r="A264" i="21"/>
  <c r="A264" i="9"/>
  <c r="C267" i="29"/>
  <c r="C267" i="9"/>
  <c r="C267" i="21"/>
  <c r="A268" i="21"/>
  <c r="A268" i="9"/>
  <c r="A268" i="29"/>
  <c r="C271" i="29"/>
  <c r="C271" i="21"/>
  <c r="C271" i="9"/>
  <c r="A272" i="29"/>
  <c r="A272" i="21"/>
  <c r="A272" i="9"/>
  <c r="C275" i="29"/>
  <c r="C275" i="9"/>
  <c r="C275" i="21"/>
  <c r="A276" i="21"/>
  <c r="A276" i="29"/>
  <c r="A276" i="9"/>
  <c r="C279" i="29"/>
  <c r="C279" i="21"/>
  <c r="C279" i="9"/>
  <c r="A280" i="29"/>
  <c r="A280" i="21"/>
  <c r="A280" i="9"/>
  <c r="C283" i="29"/>
  <c r="C283" i="21"/>
  <c r="C283" i="9"/>
  <c r="A284" i="29"/>
  <c r="A284" i="21"/>
  <c r="A284" i="9"/>
  <c r="C287" i="29"/>
  <c r="C287" i="21"/>
  <c r="C287" i="9"/>
  <c r="A288" i="29"/>
  <c r="A288" i="21"/>
  <c r="A288" i="9"/>
  <c r="C291" i="29"/>
  <c r="C291" i="9"/>
  <c r="C291" i="21"/>
  <c r="A292" i="29"/>
  <c r="A292" i="21"/>
  <c r="A292" i="9"/>
  <c r="C295" i="29"/>
  <c r="C295" i="21"/>
  <c r="C295" i="9"/>
  <c r="A296" i="29"/>
  <c r="A296" i="21"/>
  <c r="A296" i="9"/>
  <c r="C299" i="29"/>
  <c r="C299" i="9"/>
  <c r="C299" i="21"/>
  <c r="A300" i="21"/>
  <c r="A300" i="9"/>
  <c r="A300" i="29"/>
  <c r="C303" i="29"/>
  <c r="C303" i="21"/>
  <c r="C303" i="9"/>
  <c r="A304" i="29"/>
  <c r="A304" i="21"/>
  <c r="A304" i="9"/>
  <c r="C307" i="29"/>
  <c r="C307" i="21"/>
  <c r="C307" i="9"/>
  <c r="F307" i="9" s="1"/>
  <c r="D8" i="2"/>
  <c r="C9" i="2"/>
  <c r="C9" i="4"/>
  <c r="C9" i="3"/>
  <c r="A10" i="2"/>
  <c r="A10" i="4"/>
  <c r="A10" i="3"/>
  <c r="C13" i="2"/>
  <c r="C13" i="4"/>
  <c r="C13" i="3"/>
  <c r="A14" i="2"/>
  <c r="A14" i="4"/>
  <c r="A14" i="3"/>
  <c r="C17" i="2"/>
  <c r="C17" i="4"/>
  <c r="C17" i="3"/>
  <c r="A18" i="2"/>
  <c r="A18" i="4"/>
  <c r="A18" i="3"/>
  <c r="C21" i="2"/>
  <c r="C21" i="4"/>
  <c r="C21" i="3"/>
  <c r="A22" i="2"/>
  <c r="A22" i="4"/>
  <c r="A22" i="3"/>
  <c r="C25" i="2"/>
  <c r="C25" i="4"/>
  <c r="C25" i="3"/>
  <c r="A26" i="2"/>
  <c r="A26" i="4"/>
  <c r="A26" i="3"/>
  <c r="C29" i="2"/>
  <c r="C29" i="4"/>
  <c r="C29" i="3"/>
  <c r="A30" i="2"/>
  <c r="A30" i="4"/>
  <c r="A30" i="3"/>
  <c r="C33" i="2"/>
  <c r="C33" i="4"/>
  <c r="C33" i="3"/>
  <c r="A34" i="2"/>
  <c r="A34" i="4"/>
  <c r="A34" i="3"/>
  <c r="C37" i="2"/>
  <c r="C37" i="4"/>
  <c r="C37" i="3"/>
  <c r="A38" i="2"/>
  <c r="A38" i="4"/>
  <c r="A38" i="3"/>
  <c r="C41" i="2"/>
  <c r="C41" i="4"/>
  <c r="C41" i="3"/>
  <c r="A42" i="2"/>
  <c r="A42" i="4"/>
  <c r="A42" i="3"/>
  <c r="C45" i="2"/>
  <c r="C45" i="4"/>
  <c r="C45" i="3"/>
  <c r="A46" i="2"/>
  <c r="A46" i="4"/>
  <c r="A46" i="3"/>
  <c r="C49" i="2"/>
  <c r="C49" i="4"/>
  <c r="C49" i="3"/>
  <c r="A50" i="2"/>
  <c r="A50" i="4"/>
  <c r="A50" i="3"/>
  <c r="C53" i="2"/>
  <c r="C53" i="4"/>
  <c r="C53" i="3"/>
  <c r="A54" i="2"/>
  <c r="A54" i="4"/>
  <c r="A54" i="3"/>
  <c r="C57" i="2"/>
  <c r="C57" i="4"/>
  <c r="C57" i="3"/>
  <c r="A58" i="2"/>
  <c r="A58" i="4"/>
  <c r="A58" i="3"/>
  <c r="C61" i="2"/>
  <c r="C61" i="4"/>
  <c r="C61" i="3"/>
  <c r="A62" i="2"/>
  <c r="A62" i="4"/>
  <c r="A62" i="3"/>
  <c r="C65" i="2"/>
  <c r="C65" i="4"/>
  <c r="C65" i="3"/>
  <c r="A66" i="2"/>
  <c r="A66" i="4"/>
  <c r="A66" i="3"/>
  <c r="C69" i="2"/>
  <c r="C69" i="4"/>
  <c r="C69" i="3"/>
  <c r="A70" i="2"/>
  <c r="A70" i="4"/>
  <c r="A70" i="3"/>
  <c r="C73" i="2"/>
  <c r="C73" i="4"/>
  <c r="C73" i="3"/>
  <c r="A74" i="2"/>
  <c r="A74" i="4"/>
  <c r="A74" i="3"/>
  <c r="C77" i="2"/>
  <c r="C77" i="4"/>
  <c r="C77" i="3"/>
  <c r="A78" i="2"/>
  <c r="A78" i="4"/>
  <c r="A78" i="3"/>
  <c r="C81" i="2"/>
  <c r="C81" i="4"/>
  <c r="C81" i="3"/>
  <c r="A82" i="2"/>
  <c r="A82" i="4"/>
  <c r="A82" i="3"/>
  <c r="C85" i="2"/>
  <c r="C85" i="4"/>
  <c r="C85" i="3"/>
  <c r="A86" i="2"/>
  <c r="A86" i="4"/>
  <c r="A86" i="3"/>
  <c r="C89" i="2"/>
  <c r="C89" i="4"/>
  <c r="C89" i="3"/>
  <c r="A90" i="2"/>
  <c r="A90" i="4"/>
  <c r="A90" i="3"/>
  <c r="C93" i="2"/>
  <c r="C93" i="4"/>
  <c r="C93" i="3"/>
  <c r="A94" i="2"/>
  <c r="A94" i="4"/>
  <c r="A94" i="3"/>
  <c r="C97" i="2"/>
  <c r="C97" i="4"/>
  <c r="C97" i="3"/>
  <c r="A98" i="2"/>
  <c r="A98" i="4"/>
  <c r="A98" i="3"/>
  <c r="C101" i="2"/>
  <c r="C101" i="4"/>
  <c r="C101" i="3"/>
  <c r="A102" i="2"/>
  <c r="A102" i="4"/>
  <c r="A102" i="3"/>
  <c r="C105" i="2"/>
  <c r="C105" i="4"/>
  <c r="C105" i="3"/>
  <c r="A106" i="2"/>
  <c r="A106" i="4"/>
  <c r="A106" i="3"/>
  <c r="C109" i="2"/>
  <c r="C109" i="4"/>
  <c r="C109" i="3"/>
  <c r="A110" i="2"/>
  <c r="A110" i="4"/>
  <c r="A110" i="3"/>
  <c r="C113" i="2"/>
  <c r="C113" i="4"/>
  <c r="C113" i="3"/>
  <c r="A114" i="2"/>
  <c r="A114" i="4"/>
  <c r="A114" i="3"/>
  <c r="C117" i="2"/>
  <c r="C117" i="4"/>
  <c r="C117" i="3"/>
  <c r="A118" i="2"/>
  <c r="A118" i="4"/>
  <c r="A118" i="3"/>
  <c r="C121" i="2"/>
  <c r="C121" i="4"/>
  <c r="C121" i="3"/>
  <c r="A122" i="2"/>
  <c r="A122" i="4"/>
  <c r="A122" i="3"/>
  <c r="C125" i="2"/>
  <c r="C125" i="4"/>
  <c r="C125" i="3"/>
  <c r="A126" i="2"/>
  <c r="A126" i="4"/>
  <c r="A126" i="3"/>
  <c r="C129" i="2"/>
  <c r="C129" i="4"/>
  <c r="C129" i="3"/>
  <c r="A130" i="2"/>
  <c r="A130" i="4"/>
  <c r="A130" i="3"/>
  <c r="C133" i="2"/>
  <c r="C133" i="4"/>
  <c r="C133" i="3"/>
  <c r="A134" i="2"/>
  <c r="A134" i="4"/>
  <c r="A134" i="3"/>
  <c r="C137" i="2"/>
  <c r="C137" i="4"/>
  <c r="C137" i="3"/>
  <c r="A138" i="2"/>
  <c r="A138" i="4"/>
  <c r="A138" i="3"/>
  <c r="C141" i="2"/>
  <c r="C141" i="4"/>
  <c r="C141" i="3"/>
  <c r="A142" i="2"/>
  <c r="A142" i="4"/>
  <c r="A142" i="3"/>
  <c r="C145" i="2"/>
  <c r="C145" i="4"/>
  <c r="C145" i="3"/>
  <c r="A146" i="2"/>
  <c r="A146" i="4"/>
  <c r="A146" i="3"/>
  <c r="C149" i="2"/>
  <c r="C149" i="4"/>
  <c r="C149" i="3"/>
  <c r="A150" i="2"/>
  <c r="A150" i="4"/>
  <c r="A150" i="3"/>
  <c r="C153" i="2"/>
  <c r="C153" i="4"/>
  <c r="C153" i="3"/>
  <c r="A154" i="2"/>
  <c r="A154" i="4"/>
  <c r="A154" i="3"/>
  <c r="C157" i="2"/>
  <c r="C157" i="4"/>
  <c r="C157" i="3"/>
  <c r="A158" i="2"/>
  <c r="A158" i="4"/>
  <c r="A158" i="3"/>
  <c r="C161" i="2"/>
  <c r="C161" i="4"/>
  <c r="C161" i="3"/>
  <c r="A162" i="2"/>
  <c r="A162" i="4"/>
  <c r="A162" i="3"/>
  <c r="C165" i="2"/>
  <c r="C165" i="4"/>
  <c r="C165" i="3"/>
  <c r="A166" i="2"/>
  <c r="A166" i="4"/>
  <c r="A166" i="3"/>
  <c r="C169" i="2"/>
  <c r="C169" i="4"/>
  <c r="C169" i="3"/>
  <c r="A170" i="2"/>
  <c r="A170" i="4"/>
  <c r="A170" i="3"/>
  <c r="C173" i="2"/>
  <c r="C173" i="4"/>
  <c r="C173" i="3"/>
  <c r="A174" i="2"/>
  <c r="A174" i="4"/>
  <c r="A174" i="3"/>
  <c r="C177" i="2"/>
  <c r="C177" i="4"/>
  <c r="C177" i="3"/>
  <c r="A178" i="2"/>
  <c r="A178" i="4"/>
  <c r="A178" i="3"/>
  <c r="C181" i="2"/>
  <c r="C181" i="4"/>
  <c r="C181" i="3"/>
  <c r="A182" i="2"/>
  <c r="A182" i="4"/>
  <c r="A182" i="3"/>
  <c r="C185" i="2"/>
  <c r="C185" i="4"/>
  <c r="C185" i="3"/>
  <c r="A186" i="2"/>
  <c r="A186" i="4"/>
  <c r="A186" i="3"/>
  <c r="C189" i="2"/>
  <c r="C189" i="4"/>
  <c r="C189" i="3"/>
  <c r="A190" i="2"/>
  <c r="A190" i="4"/>
  <c r="A190" i="3"/>
  <c r="C193" i="2"/>
  <c r="C193" i="4"/>
  <c r="C193" i="3"/>
  <c r="A194" i="2"/>
  <c r="A194" i="4"/>
  <c r="A194" i="3"/>
  <c r="C197" i="2"/>
  <c r="C197" i="4"/>
  <c r="C197" i="3"/>
  <c r="A198" i="2"/>
  <c r="A198" i="4"/>
  <c r="A198" i="3"/>
  <c r="C201" i="2"/>
  <c r="C201" i="4"/>
  <c r="C201" i="3"/>
  <c r="A202" i="2"/>
  <c r="A202" i="4"/>
  <c r="A202" i="3"/>
  <c r="C205" i="2"/>
  <c r="C205" i="4"/>
  <c r="C205" i="3"/>
  <c r="A206" i="2"/>
  <c r="A206" i="4"/>
  <c r="A206" i="3"/>
  <c r="C209" i="2"/>
  <c r="C209" i="4"/>
  <c r="C209" i="3"/>
  <c r="A210" i="2"/>
  <c r="A210" i="4"/>
  <c r="A210" i="3"/>
  <c r="C213" i="2"/>
  <c r="C213" i="4"/>
  <c r="C213" i="3"/>
  <c r="A214" i="2"/>
  <c r="A214" i="4"/>
  <c r="A214" i="3"/>
  <c r="C217" i="2"/>
  <c r="C217" i="4"/>
  <c r="C217" i="3"/>
  <c r="A218" i="2"/>
  <c r="A218" i="4"/>
  <c r="A218" i="3"/>
  <c r="C221" i="2"/>
  <c r="C221" i="4"/>
  <c r="C221" i="3"/>
  <c r="A222" i="2"/>
  <c r="A222" i="4"/>
  <c r="A222" i="3"/>
  <c r="C225" i="2"/>
  <c r="C225" i="4"/>
  <c r="C225" i="3"/>
  <c r="A226" i="2"/>
  <c r="A226" i="4"/>
  <c r="A226" i="3"/>
  <c r="C229" i="2"/>
  <c r="C229" i="4"/>
  <c r="C229" i="3"/>
  <c r="A230" i="2"/>
  <c r="A230" i="4"/>
  <c r="A230" i="3"/>
  <c r="C233" i="2"/>
  <c r="C233" i="4"/>
  <c r="C233" i="3"/>
  <c r="A234" i="2"/>
  <c r="A234" i="4"/>
  <c r="A234" i="3"/>
  <c r="C237" i="2"/>
  <c r="C237" i="4"/>
  <c r="C237" i="3"/>
  <c r="A238" i="2"/>
  <c r="A238" i="4"/>
  <c r="A238" i="3"/>
  <c r="C241" i="2"/>
  <c r="C241" i="4"/>
  <c r="C241" i="3"/>
  <c r="A242" i="2"/>
  <c r="A242" i="4"/>
  <c r="A242" i="3"/>
  <c r="C245" i="2"/>
  <c r="C245" i="4"/>
  <c r="C245" i="3"/>
  <c r="A246" i="2"/>
  <c r="A246" i="4"/>
  <c r="A246" i="3"/>
  <c r="C249" i="2"/>
  <c r="C249" i="4"/>
  <c r="C249" i="3"/>
  <c r="A250" i="2"/>
  <c r="A250" i="4"/>
  <c r="A250" i="3"/>
  <c r="C253" i="2"/>
  <c r="C253" i="4"/>
  <c r="C253" i="3"/>
  <c r="A254" i="2"/>
  <c r="A254" i="4"/>
  <c r="A254" i="3"/>
  <c r="C257" i="2"/>
  <c r="C257" i="4"/>
  <c r="C257" i="3"/>
  <c r="A258" i="2"/>
  <c r="A258" i="4"/>
  <c r="A258" i="3"/>
  <c r="C261" i="2"/>
  <c r="C261" i="4"/>
  <c r="C261" i="3"/>
  <c r="A262" i="2"/>
  <c r="A262" i="4"/>
  <c r="A262" i="3"/>
  <c r="C265" i="2"/>
  <c r="C265" i="4"/>
  <c r="C265" i="3"/>
  <c r="A266" i="2"/>
  <c r="A266" i="4"/>
  <c r="A266" i="3"/>
  <c r="C269" i="2"/>
  <c r="C269" i="4"/>
  <c r="C269" i="3"/>
  <c r="A270" i="2"/>
  <c r="A270" i="4"/>
  <c r="A270" i="3"/>
  <c r="C273" i="2"/>
  <c r="C273" i="4"/>
  <c r="C273" i="3"/>
  <c r="A274" i="2"/>
  <c r="A274" i="4"/>
  <c r="A274" i="3"/>
  <c r="C277" i="2"/>
  <c r="C277" i="4"/>
  <c r="C277" i="3"/>
  <c r="A278" i="2"/>
  <c r="A278" i="4"/>
  <c r="A278" i="3"/>
  <c r="C281" i="2"/>
  <c r="C281" i="4"/>
  <c r="C281" i="3"/>
  <c r="A282" i="2"/>
  <c r="A282" i="4"/>
  <c r="A282" i="3"/>
  <c r="C285" i="2"/>
  <c r="C285" i="4"/>
  <c r="C285" i="3"/>
  <c r="A286" i="2"/>
  <c r="A286" i="4"/>
  <c r="A286" i="3"/>
  <c r="C289" i="2"/>
  <c r="C289" i="4"/>
  <c r="C289" i="3"/>
  <c r="A290" i="2"/>
  <c r="A290" i="4"/>
  <c r="A290" i="3"/>
  <c r="C293" i="2"/>
  <c r="C293" i="4"/>
  <c r="C293" i="3"/>
  <c r="A294" i="2"/>
  <c r="A294" i="4"/>
  <c r="A294" i="3"/>
  <c r="C297" i="2"/>
  <c r="C297" i="4"/>
  <c r="C297" i="3"/>
  <c r="A298" i="2"/>
  <c r="A298" i="4"/>
  <c r="A298" i="3"/>
  <c r="C301" i="2"/>
  <c r="C301" i="4"/>
  <c r="C301" i="3"/>
  <c r="A302" i="2"/>
  <c r="A302" i="4"/>
  <c r="A302" i="3"/>
  <c r="C305" i="2"/>
  <c r="C305" i="4"/>
  <c r="C305" i="3"/>
  <c r="A306" i="2"/>
  <c r="A306" i="4"/>
  <c r="A306" i="3"/>
  <c r="D9" i="2"/>
  <c r="B10" i="2"/>
  <c r="B10" i="4"/>
  <c r="B10" i="3"/>
  <c r="D13" i="2"/>
  <c r="B14" i="2"/>
  <c r="B14" i="4"/>
  <c r="B14" i="3"/>
  <c r="D17" i="2"/>
  <c r="B18" i="2"/>
  <c r="B18" i="4"/>
  <c r="B18" i="3"/>
  <c r="D21" i="2"/>
  <c r="B22" i="2"/>
  <c r="B22" i="4"/>
  <c r="B22" i="3"/>
  <c r="D25" i="2"/>
  <c r="B26" i="2"/>
  <c r="B26" i="4"/>
  <c r="B26" i="3"/>
  <c r="D29" i="2"/>
  <c r="B30" i="2"/>
  <c r="B30" i="4"/>
  <c r="B30" i="3"/>
  <c r="D33" i="2"/>
  <c r="B34" i="2"/>
  <c r="B34" i="4"/>
  <c r="B34" i="3"/>
  <c r="D37" i="2"/>
  <c r="B38" i="2"/>
  <c r="B38" i="4"/>
  <c r="B38" i="3"/>
  <c r="D41" i="2"/>
  <c r="B42" i="2"/>
  <c r="B42" i="4"/>
  <c r="B42" i="3"/>
  <c r="D45" i="2"/>
  <c r="B46" i="2"/>
  <c r="B46" i="4"/>
  <c r="B46" i="3"/>
  <c r="D49" i="2"/>
  <c r="B50" i="2"/>
  <c r="B50" i="4"/>
  <c r="B50" i="3"/>
  <c r="D53" i="2"/>
  <c r="B54" i="2"/>
  <c r="B54" i="4"/>
  <c r="B54" i="3"/>
  <c r="D57" i="2"/>
  <c r="B58" i="2"/>
  <c r="B58" i="4"/>
  <c r="B58" i="3"/>
  <c r="D61" i="2"/>
  <c r="B62" i="2"/>
  <c r="B62" i="4"/>
  <c r="B62" i="3"/>
  <c r="D65" i="2"/>
  <c r="B66" i="2"/>
  <c r="B66" i="4"/>
  <c r="B66" i="3"/>
  <c r="D69" i="2"/>
  <c r="B70" i="2"/>
  <c r="B70" i="4"/>
  <c r="B70" i="3"/>
  <c r="D73" i="2"/>
  <c r="B74" i="2"/>
  <c r="B74" i="4"/>
  <c r="B74" i="3"/>
  <c r="D77" i="2"/>
  <c r="B78" i="2"/>
  <c r="B78" i="4"/>
  <c r="B78" i="3"/>
  <c r="D81" i="2"/>
  <c r="B82" i="2"/>
  <c r="B82" i="4"/>
  <c r="B82" i="3"/>
  <c r="D85" i="2"/>
  <c r="B86" i="2"/>
  <c r="B86" i="4"/>
  <c r="B86" i="3"/>
  <c r="D89" i="2"/>
  <c r="B90" i="2"/>
  <c r="B90" i="4"/>
  <c r="B90" i="3"/>
  <c r="D93" i="2"/>
  <c r="B94" i="2"/>
  <c r="B94" i="4"/>
  <c r="B94" i="3"/>
  <c r="D97" i="2"/>
  <c r="B98" i="2"/>
  <c r="B98" i="4"/>
  <c r="B98" i="3"/>
  <c r="D101" i="2"/>
  <c r="B102" i="2"/>
  <c r="B102" i="4"/>
  <c r="B102" i="3"/>
  <c r="D105" i="2"/>
  <c r="B106" i="2"/>
  <c r="B106" i="4"/>
  <c r="B106" i="3"/>
  <c r="D109" i="2"/>
  <c r="B110" i="2"/>
  <c r="B110" i="4"/>
  <c r="B110" i="3"/>
  <c r="D113" i="2"/>
  <c r="B114" i="2"/>
  <c r="B114" i="4"/>
  <c r="B114" i="3"/>
  <c r="D117" i="2"/>
  <c r="B118" i="2"/>
  <c r="B118" i="4"/>
  <c r="B118" i="3"/>
  <c r="D121" i="2"/>
  <c r="B122" i="2"/>
  <c r="B122" i="4"/>
  <c r="B122" i="3"/>
  <c r="D125" i="2"/>
  <c r="B126" i="2"/>
  <c r="B126" i="4"/>
  <c r="B126" i="3"/>
  <c r="D129" i="2"/>
  <c r="B130" i="2"/>
  <c r="B130" i="4"/>
  <c r="B130" i="3"/>
  <c r="D133" i="2"/>
  <c r="B134" i="2"/>
  <c r="B134" i="4"/>
  <c r="B134" i="3"/>
  <c r="D137" i="2"/>
  <c r="B138" i="2"/>
  <c r="B138" i="4"/>
  <c r="B138" i="3"/>
  <c r="D141" i="2"/>
  <c r="B142" i="2"/>
  <c r="B142" i="4"/>
  <c r="B142" i="3"/>
  <c r="D145" i="2"/>
  <c r="B146" i="2"/>
  <c r="B146" i="4"/>
  <c r="B146" i="3"/>
  <c r="D149" i="2"/>
  <c r="B150" i="2"/>
  <c r="B150" i="4"/>
  <c r="B150" i="3"/>
  <c r="D153" i="2"/>
  <c r="B154" i="2"/>
  <c r="B154" i="4"/>
  <c r="B154" i="3"/>
  <c r="D157" i="2"/>
  <c r="B158" i="2"/>
  <c r="B158" i="4"/>
  <c r="B158" i="3"/>
  <c r="D161" i="2"/>
  <c r="B162" i="2"/>
  <c r="B162" i="4"/>
  <c r="B162" i="3"/>
  <c r="D165" i="2"/>
  <c r="B166" i="2"/>
  <c r="B166" i="4"/>
  <c r="B166" i="3"/>
  <c r="D169" i="2"/>
  <c r="B170" i="2"/>
  <c r="B170" i="4"/>
  <c r="B170" i="3"/>
  <c r="D173" i="2"/>
  <c r="B174" i="2"/>
  <c r="B174" i="4"/>
  <c r="B174" i="3"/>
  <c r="D177" i="2"/>
  <c r="B178" i="2"/>
  <c r="B178" i="4"/>
  <c r="B178" i="3"/>
  <c r="D181" i="2"/>
  <c r="B182" i="2"/>
  <c r="B182" i="4"/>
  <c r="B182" i="3"/>
  <c r="D185" i="2"/>
  <c r="B186" i="2"/>
  <c r="B186" i="4"/>
  <c r="B186" i="3"/>
  <c r="D189" i="2"/>
  <c r="B190" i="2"/>
  <c r="B190" i="4"/>
  <c r="B190" i="3"/>
  <c r="D193" i="2"/>
  <c r="B194" i="2"/>
  <c r="B194" i="4"/>
  <c r="B194" i="3"/>
  <c r="D197" i="2"/>
  <c r="B198" i="2"/>
  <c r="B198" i="4"/>
  <c r="B198" i="3"/>
  <c r="D201" i="2"/>
  <c r="B202" i="2"/>
  <c r="B202" i="4"/>
  <c r="B202" i="3"/>
  <c r="D205" i="2"/>
  <c r="B206" i="2"/>
  <c r="B206" i="4"/>
  <c r="B206" i="3"/>
  <c r="D209" i="2"/>
  <c r="B210" i="2"/>
  <c r="B210" i="4"/>
  <c r="B210" i="3"/>
  <c r="D213" i="2"/>
  <c r="B214" i="2"/>
  <c r="B214" i="4"/>
  <c r="B214" i="3"/>
  <c r="D217" i="2"/>
  <c r="B218" i="2"/>
  <c r="B218" i="4"/>
  <c r="B218" i="3"/>
  <c r="D221" i="2"/>
  <c r="B222" i="2"/>
  <c r="B222" i="4"/>
  <c r="B222" i="3"/>
  <c r="D225" i="2"/>
  <c r="B226" i="2"/>
  <c r="B226" i="4"/>
  <c r="B226" i="3"/>
  <c r="D229" i="2"/>
  <c r="B230" i="2"/>
  <c r="B230" i="4"/>
  <c r="B230" i="3"/>
  <c r="D233" i="2"/>
  <c r="B234" i="2"/>
  <c r="B234" i="4"/>
  <c r="B234" i="3"/>
  <c r="D237" i="2"/>
  <c r="B238" i="2"/>
  <c r="B238" i="4"/>
  <c r="B238" i="3"/>
  <c r="D241" i="2"/>
  <c r="B242" i="2"/>
  <c r="B242" i="4"/>
  <c r="B242" i="3"/>
  <c r="D245" i="2"/>
  <c r="B246" i="2"/>
  <c r="B246" i="4"/>
  <c r="B246" i="3"/>
  <c r="D249" i="2"/>
  <c r="B250" i="2"/>
  <c r="B250" i="4"/>
  <c r="B250" i="3"/>
  <c r="D253" i="2"/>
  <c r="B254" i="2"/>
  <c r="B254" i="4"/>
  <c r="B254" i="3"/>
  <c r="D257" i="2"/>
  <c r="B258" i="2"/>
  <c r="B258" i="4"/>
  <c r="B258" i="3"/>
  <c r="D261" i="2"/>
  <c r="B262" i="2"/>
  <c r="B262" i="4"/>
  <c r="B262" i="3"/>
  <c r="D265" i="2"/>
  <c r="B266" i="2"/>
  <c r="B266" i="4"/>
  <c r="B266" i="3"/>
  <c r="D269" i="2"/>
  <c r="B270" i="2"/>
  <c r="B270" i="4"/>
  <c r="B270" i="3"/>
  <c r="D273" i="2"/>
  <c r="B274" i="2"/>
  <c r="B274" i="4"/>
  <c r="B274" i="3"/>
  <c r="D277" i="2"/>
  <c r="B278" i="2"/>
  <c r="B278" i="4"/>
  <c r="B278" i="3"/>
  <c r="D281" i="2"/>
  <c r="B282" i="2"/>
  <c r="B282" i="4"/>
  <c r="B282" i="3"/>
  <c r="D285" i="2"/>
  <c r="B286" i="2"/>
  <c r="B286" i="4"/>
  <c r="B286" i="3"/>
  <c r="D289" i="2"/>
  <c r="B290" i="2"/>
  <c r="B290" i="4"/>
  <c r="B290" i="3"/>
  <c r="D293" i="2"/>
  <c r="B294" i="2"/>
  <c r="B294" i="4"/>
  <c r="B294" i="3"/>
  <c r="D297" i="2"/>
  <c r="B298" i="2"/>
  <c r="B298" i="4"/>
  <c r="B298" i="3"/>
  <c r="D301" i="2"/>
  <c r="B302" i="2"/>
  <c r="B302" i="4"/>
  <c r="B302" i="3"/>
  <c r="D305" i="2"/>
  <c r="B306" i="2"/>
  <c r="B306" i="4"/>
  <c r="B306" i="3"/>
  <c r="C10" i="2"/>
  <c r="C10" i="4"/>
  <c r="C10" i="3"/>
  <c r="A11" i="2"/>
  <c r="A11" i="4"/>
  <c r="A11" i="3"/>
  <c r="C14" i="2"/>
  <c r="C14" i="4"/>
  <c r="C14" i="3"/>
  <c r="A15" i="2"/>
  <c r="A15" i="4"/>
  <c r="A15" i="3"/>
  <c r="C18" i="2"/>
  <c r="C18" i="4"/>
  <c r="C18" i="3"/>
  <c r="A19" i="2"/>
  <c r="A19" i="4"/>
  <c r="A19" i="3"/>
  <c r="C22" i="2"/>
  <c r="C22" i="4"/>
  <c r="C22" i="3"/>
  <c r="A23" i="2"/>
  <c r="A23" i="4"/>
  <c r="A23" i="3"/>
  <c r="C26" i="2"/>
  <c r="C26" i="4"/>
  <c r="C26" i="3"/>
  <c r="A27" i="2"/>
  <c r="A27" i="4"/>
  <c r="A27" i="3"/>
  <c r="C30" i="2"/>
  <c r="C30" i="4"/>
  <c r="C30" i="3"/>
  <c r="A31" i="2"/>
  <c r="A31" i="4"/>
  <c r="A31" i="3"/>
  <c r="C34" i="2"/>
  <c r="C34" i="4"/>
  <c r="C34" i="3"/>
  <c r="A35" i="2"/>
  <c r="A35" i="4"/>
  <c r="A35" i="3"/>
  <c r="C38" i="2"/>
  <c r="C38" i="4"/>
  <c r="C38" i="3"/>
  <c r="A39" i="2"/>
  <c r="A39" i="4"/>
  <c r="A39" i="3"/>
  <c r="C42" i="2"/>
  <c r="C42" i="4"/>
  <c r="C42" i="3"/>
  <c r="A43" i="2"/>
  <c r="A43" i="4"/>
  <c r="A43" i="3"/>
  <c r="C46" i="2"/>
  <c r="C46" i="4"/>
  <c r="C46" i="3"/>
  <c r="A47" i="2"/>
  <c r="A47" i="4"/>
  <c r="A47" i="3"/>
  <c r="C50" i="2"/>
  <c r="C50" i="4"/>
  <c r="C50" i="3"/>
  <c r="A51" i="2"/>
  <c r="A51" i="4"/>
  <c r="A51" i="3"/>
  <c r="C54" i="2"/>
  <c r="C54" i="4"/>
  <c r="C54" i="3"/>
  <c r="A55" i="2"/>
  <c r="A55" i="4"/>
  <c r="A55" i="3"/>
  <c r="C58" i="2"/>
  <c r="C58" i="4"/>
  <c r="C58" i="3"/>
  <c r="A59" i="2"/>
  <c r="A59" i="4"/>
  <c r="A59" i="3"/>
  <c r="C62" i="2"/>
  <c r="C62" i="4"/>
  <c r="C62" i="3"/>
  <c r="A63" i="2"/>
  <c r="A63" i="4"/>
  <c r="A63" i="3"/>
  <c r="C66" i="2"/>
  <c r="C66" i="4"/>
  <c r="C66" i="3"/>
  <c r="A67" i="2"/>
  <c r="A67" i="4"/>
  <c r="A67" i="3"/>
  <c r="C70" i="2"/>
  <c r="C70" i="4"/>
  <c r="C70" i="3"/>
  <c r="A71" i="2"/>
  <c r="A71" i="4"/>
  <c r="A71" i="3"/>
  <c r="C74" i="2"/>
  <c r="C74" i="4"/>
  <c r="C74" i="3"/>
  <c r="A75" i="2"/>
  <c r="A75" i="4"/>
  <c r="A75" i="3"/>
  <c r="C78" i="2"/>
  <c r="C78" i="4"/>
  <c r="C78" i="3"/>
  <c r="A79" i="2"/>
  <c r="A79" i="4"/>
  <c r="A79" i="3"/>
  <c r="C82" i="2"/>
  <c r="C82" i="4"/>
  <c r="C82" i="3"/>
  <c r="A83" i="2"/>
  <c r="A83" i="4"/>
  <c r="A83" i="3"/>
  <c r="C86" i="2"/>
  <c r="C86" i="4"/>
  <c r="C86" i="3"/>
  <c r="A87" i="2"/>
  <c r="A87" i="4"/>
  <c r="A87" i="3"/>
  <c r="C90" i="2"/>
  <c r="C90" i="4"/>
  <c r="C90" i="3"/>
  <c r="A91" i="2"/>
  <c r="A91" i="4"/>
  <c r="A91" i="3"/>
  <c r="C94" i="2"/>
  <c r="C94" i="4"/>
  <c r="C94" i="3"/>
  <c r="A95" i="2"/>
  <c r="A95" i="4"/>
  <c r="A95" i="3"/>
  <c r="C98" i="2"/>
  <c r="C98" i="4"/>
  <c r="C98" i="3"/>
  <c r="A99" i="2"/>
  <c r="A99" i="4"/>
  <c r="A99" i="3"/>
  <c r="C102" i="2"/>
  <c r="C102" i="4"/>
  <c r="C102" i="3"/>
  <c r="A103" i="2"/>
  <c r="A103" i="4"/>
  <c r="A103" i="3"/>
  <c r="C106" i="2"/>
  <c r="C106" i="4"/>
  <c r="C106" i="3"/>
  <c r="A107" i="2"/>
  <c r="A107" i="4"/>
  <c r="A107" i="3"/>
  <c r="C110" i="2"/>
  <c r="C110" i="4"/>
  <c r="C110" i="3"/>
  <c r="A111" i="2"/>
  <c r="A111" i="4"/>
  <c r="A111" i="3"/>
  <c r="C114" i="2"/>
  <c r="C114" i="4"/>
  <c r="C114" i="3"/>
  <c r="A115" i="2"/>
  <c r="A115" i="4"/>
  <c r="A115" i="3"/>
  <c r="C118" i="2"/>
  <c r="C118" i="4"/>
  <c r="C118" i="3"/>
  <c r="A119" i="2"/>
  <c r="A119" i="4"/>
  <c r="A119" i="3"/>
  <c r="C122" i="2"/>
  <c r="C122" i="4"/>
  <c r="C122" i="3"/>
  <c r="A123" i="2"/>
  <c r="A123" i="4"/>
  <c r="A123" i="3"/>
  <c r="C126" i="2"/>
  <c r="C126" i="4"/>
  <c r="C126" i="3"/>
  <c r="A127" i="2"/>
  <c r="A127" i="4"/>
  <c r="A127" i="3"/>
  <c r="C130" i="2"/>
  <c r="C130" i="4"/>
  <c r="C130" i="3"/>
  <c r="A131" i="2"/>
  <c r="A131" i="4"/>
  <c r="A131" i="3"/>
  <c r="C134" i="2"/>
  <c r="C134" i="4"/>
  <c r="C134" i="3"/>
  <c r="A135" i="2"/>
  <c r="A135" i="4"/>
  <c r="A135" i="3"/>
  <c r="C138" i="2"/>
  <c r="C138" i="4"/>
  <c r="C138" i="3"/>
  <c r="A139" i="2"/>
  <c r="A139" i="4"/>
  <c r="A139" i="3"/>
  <c r="C142" i="2"/>
  <c r="C142" i="4"/>
  <c r="C142" i="3"/>
  <c r="A143" i="2"/>
  <c r="A143" i="4"/>
  <c r="A143" i="3"/>
  <c r="C146" i="2"/>
  <c r="C146" i="4"/>
  <c r="C146" i="3"/>
  <c r="A147" i="2"/>
  <c r="A147" i="4"/>
  <c r="A147" i="3"/>
  <c r="C150" i="2"/>
  <c r="C150" i="4"/>
  <c r="C150" i="3"/>
  <c r="A151" i="2"/>
  <c r="A151" i="4"/>
  <c r="A151" i="3"/>
  <c r="C154" i="2"/>
  <c r="C154" i="4"/>
  <c r="C154" i="3"/>
  <c r="A155" i="2"/>
  <c r="A155" i="4"/>
  <c r="A155" i="3"/>
  <c r="C158" i="2"/>
  <c r="C158" i="4"/>
  <c r="C158" i="3"/>
  <c r="A159" i="2"/>
  <c r="A159" i="4"/>
  <c r="A159" i="3"/>
  <c r="C162" i="2"/>
  <c r="C162" i="4"/>
  <c r="C162" i="3"/>
  <c r="A163" i="2"/>
  <c r="A163" i="4"/>
  <c r="A163" i="3"/>
  <c r="C166" i="2"/>
  <c r="C166" i="4"/>
  <c r="C166" i="3"/>
  <c r="A167" i="2"/>
  <c r="A167" i="4"/>
  <c r="A167" i="3"/>
  <c r="C170" i="2"/>
  <c r="C170" i="4"/>
  <c r="C170" i="3"/>
  <c r="A171" i="2"/>
  <c r="A171" i="4"/>
  <c r="A171" i="3"/>
  <c r="C174" i="2"/>
  <c r="C174" i="4"/>
  <c r="C174" i="3"/>
  <c r="A175" i="2"/>
  <c r="A175" i="4"/>
  <c r="A175" i="3"/>
  <c r="C178" i="2"/>
  <c r="C178" i="4"/>
  <c r="C178" i="3"/>
  <c r="A179" i="2"/>
  <c r="A179" i="4"/>
  <c r="A179" i="3"/>
  <c r="C182" i="2"/>
  <c r="C182" i="4"/>
  <c r="C182" i="3"/>
  <c r="A183" i="2"/>
  <c r="A183" i="4"/>
  <c r="A183" i="3"/>
  <c r="C186" i="2"/>
  <c r="C186" i="4"/>
  <c r="C186" i="3"/>
  <c r="A187" i="2"/>
  <c r="A187" i="4"/>
  <c r="A187" i="3"/>
  <c r="C190" i="2"/>
  <c r="C190" i="4"/>
  <c r="C190" i="3"/>
  <c r="A191" i="2"/>
  <c r="A191" i="4"/>
  <c r="A191" i="3"/>
  <c r="C194" i="2"/>
  <c r="C194" i="4"/>
  <c r="C194" i="3"/>
  <c r="A195" i="2"/>
  <c r="A195" i="4"/>
  <c r="A195" i="3"/>
  <c r="C198" i="2"/>
  <c r="C198" i="4"/>
  <c r="C198" i="3"/>
  <c r="A199" i="2"/>
  <c r="A199" i="4"/>
  <c r="A199" i="3"/>
  <c r="C202" i="2"/>
  <c r="C202" i="4"/>
  <c r="C202" i="3"/>
  <c r="A203" i="2"/>
  <c r="A203" i="4"/>
  <c r="A203" i="3"/>
  <c r="C206" i="2"/>
  <c r="C206" i="4"/>
  <c r="C206" i="3"/>
  <c r="A207" i="2"/>
  <c r="A207" i="4"/>
  <c r="A207" i="3"/>
  <c r="C210" i="2"/>
  <c r="C210" i="4"/>
  <c r="C210" i="3"/>
  <c r="A211" i="2"/>
  <c r="A211" i="4"/>
  <c r="A211" i="3"/>
  <c r="C214" i="2"/>
  <c r="C214" i="4"/>
  <c r="C214" i="3"/>
  <c r="A215" i="2"/>
  <c r="A215" i="4"/>
  <c r="A215" i="3"/>
  <c r="C218" i="2"/>
  <c r="C218" i="4"/>
  <c r="C218" i="3"/>
  <c r="A219" i="2"/>
  <c r="A219" i="4"/>
  <c r="A219" i="3"/>
  <c r="C222" i="2"/>
  <c r="C222" i="4"/>
  <c r="C222" i="3"/>
  <c r="A223" i="2"/>
  <c r="A223" i="4"/>
  <c r="A223" i="3"/>
  <c r="C226" i="2"/>
  <c r="C226" i="4"/>
  <c r="C226" i="3"/>
  <c r="A227" i="2"/>
  <c r="A227" i="4"/>
  <c r="A227" i="3"/>
  <c r="C230" i="2"/>
  <c r="C230" i="4"/>
  <c r="C230" i="3"/>
  <c r="A231" i="2"/>
  <c r="A231" i="4"/>
  <c r="A231" i="3"/>
  <c r="C234" i="2"/>
  <c r="C234" i="4"/>
  <c r="C234" i="3"/>
  <c r="A235" i="2"/>
  <c r="A235" i="4"/>
  <c r="A235" i="3"/>
  <c r="C238" i="2"/>
  <c r="C238" i="4"/>
  <c r="C238" i="3"/>
  <c r="A239" i="2"/>
  <c r="A239" i="4"/>
  <c r="A239" i="3"/>
  <c r="C242" i="2"/>
  <c r="C242" i="4"/>
  <c r="C242" i="3"/>
  <c r="A243" i="2"/>
  <c r="A243" i="4"/>
  <c r="A243" i="3"/>
  <c r="C246" i="2"/>
  <c r="C246" i="4"/>
  <c r="C246" i="3"/>
  <c r="A247" i="2"/>
  <c r="A247" i="4"/>
  <c r="A247" i="3"/>
  <c r="C250" i="2"/>
  <c r="C250" i="4"/>
  <c r="C250" i="3"/>
  <c r="A251" i="2"/>
  <c r="A251" i="4"/>
  <c r="A251" i="3"/>
  <c r="C254" i="2"/>
  <c r="C254" i="4"/>
  <c r="C254" i="3"/>
  <c r="A255" i="2"/>
  <c r="A255" i="4"/>
  <c r="A255" i="3"/>
  <c r="C258" i="2"/>
  <c r="C258" i="4"/>
  <c r="C258" i="3"/>
  <c r="A259" i="2"/>
  <c r="A259" i="4"/>
  <c r="A259" i="3"/>
  <c r="C262" i="2"/>
  <c r="C262" i="4"/>
  <c r="C262" i="3"/>
  <c r="A263" i="2"/>
  <c r="A263" i="4"/>
  <c r="A263" i="3"/>
  <c r="C266" i="2"/>
  <c r="C266" i="4"/>
  <c r="C266" i="3"/>
  <c r="A267" i="2"/>
  <c r="A267" i="4"/>
  <c r="A267" i="3"/>
  <c r="C270" i="2"/>
  <c r="C270" i="4"/>
  <c r="C270" i="3"/>
  <c r="A271" i="2"/>
  <c r="A271" i="4"/>
  <c r="A271" i="3"/>
  <c r="C274" i="2"/>
  <c r="C274" i="4"/>
  <c r="C274" i="3"/>
  <c r="A275" i="2"/>
  <c r="A275" i="4"/>
  <c r="A275" i="3"/>
  <c r="C278" i="2"/>
  <c r="C278" i="4"/>
  <c r="C278" i="3"/>
  <c r="A279" i="2"/>
  <c r="A279" i="4"/>
  <c r="A279" i="3"/>
  <c r="C282" i="2"/>
  <c r="C282" i="4"/>
  <c r="C282" i="3"/>
  <c r="A283" i="2"/>
  <c r="A283" i="4"/>
  <c r="A283" i="3"/>
  <c r="C286" i="2"/>
  <c r="C286" i="4"/>
  <c r="C286" i="3"/>
  <c r="A287" i="2"/>
  <c r="A287" i="4"/>
  <c r="A287" i="3"/>
  <c r="C290" i="2"/>
  <c r="C290" i="4"/>
  <c r="C290" i="3"/>
  <c r="A291" i="2"/>
  <c r="A291" i="4"/>
  <c r="A291" i="3"/>
  <c r="C294" i="2"/>
  <c r="C294" i="4"/>
  <c r="C294" i="3"/>
  <c r="A295" i="2"/>
  <c r="A295" i="4"/>
  <c r="A295" i="3"/>
  <c r="C298" i="2"/>
  <c r="C298" i="4"/>
  <c r="C298" i="3"/>
  <c r="A299" i="2"/>
  <c r="A299" i="4"/>
  <c r="A299" i="3"/>
  <c r="C302" i="2"/>
  <c r="C302" i="4"/>
  <c r="C302" i="3"/>
  <c r="A303" i="2"/>
  <c r="A303" i="4"/>
  <c r="A303" i="3"/>
  <c r="C306" i="2"/>
  <c r="C306" i="4"/>
  <c r="C306" i="3"/>
  <c r="A307" i="2"/>
  <c r="A307" i="4"/>
  <c r="A307" i="3"/>
  <c r="U308" i="53"/>
  <c r="P8" i="3"/>
  <c r="R8" i="3" s="1"/>
  <c r="D10" i="2"/>
  <c r="B11" i="2"/>
  <c r="B11" i="4"/>
  <c r="B11" i="3"/>
  <c r="D14" i="2"/>
  <c r="B15" i="2"/>
  <c r="B15" i="4"/>
  <c r="B15" i="3"/>
  <c r="D18" i="2"/>
  <c r="B19" i="2"/>
  <c r="B19" i="4"/>
  <c r="B19" i="3"/>
  <c r="D22" i="2"/>
  <c r="B23" i="2"/>
  <c r="B23" i="4"/>
  <c r="B23" i="3"/>
  <c r="D26" i="2"/>
  <c r="B27" i="2"/>
  <c r="B27" i="4"/>
  <c r="B27" i="3"/>
  <c r="D30" i="2"/>
  <c r="B31" i="2"/>
  <c r="B31" i="4"/>
  <c r="B31" i="3"/>
  <c r="D34" i="2"/>
  <c r="B35" i="2"/>
  <c r="B35" i="4"/>
  <c r="B35" i="3"/>
  <c r="D38" i="2"/>
  <c r="B39" i="2"/>
  <c r="B39" i="4"/>
  <c r="B39" i="3"/>
  <c r="D42" i="2"/>
  <c r="B43" i="2"/>
  <c r="B43" i="4"/>
  <c r="B43" i="3"/>
  <c r="D46" i="2"/>
  <c r="B47" i="2"/>
  <c r="B47" i="4"/>
  <c r="B47" i="3"/>
  <c r="D50" i="2"/>
  <c r="B51" i="2"/>
  <c r="B51" i="4"/>
  <c r="B51" i="3"/>
  <c r="D54" i="2"/>
  <c r="B55" i="2"/>
  <c r="B55" i="4"/>
  <c r="B55" i="3"/>
  <c r="D58" i="2"/>
  <c r="B59" i="2"/>
  <c r="B59" i="4"/>
  <c r="B59" i="3"/>
  <c r="D62" i="2"/>
  <c r="B63" i="2"/>
  <c r="B63" i="4"/>
  <c r="B63" i="3"/>
  <c r="D66" i="2"/>
  <c r="B67" i="2"/>
  <c r="B67" i="4"/>
  <c r="B67" i="3"/>
  <c r="D70" i="2"/>
  <c r="B71" i="2"/>
  <c r="B71" i="4"/>
  <c r="B71" i="3"/>
  <c r="D74" i="2"/>
  <c r="B75" i="2"/>
  <c r="B75" i="4"/>
  <c r="B75" i="3"/>
  <c r="D78" i="2"/>
  <c r="B79" i="2"/>
  <c r="B79" i="4"/>
  <c r="B79" i="3"/>
  <c r="D82" i="2"/>
  <c r="B83" i="2"/>
  <c r="B83" i="4"/>
  <c r="B83" i="3"/>
  <c r="D86" i="2"/>
  <c r="B87" i="2"/>
  <c r="B87" i="4"/>
  <c r="B87" i="3"/>
  <c r="D90" i="2"/>
  <c r="B91" i="2"/>
  <c r="B91" i="4"/>
  <c r="B91" i="3"/>
  <c r="D94" i="2"/>
  <c r="B95" i="2"/>
  <c r="B95" i="4"/>
  <c r="B95" i="3"/>
  <c r="D98" i="2"/>
  <c r="B99" i="2"/>
  <c r="B99" i="4"/>
  <c r="B99" i="3"/>
  <c r="D102" i="2"/>
  <c r="B103" i="2"/>
  <c r="B103" i="4"/>
  <c r="B103" i="3"/>
  <c r="D106" i="2"/>
  <c r="B107" i="2"/>
  <c r="B107" i="4"/>
  <c r="B107" i="3"/>
  <c r="D110" i="2"/>
  <c r="B111" i="2"/>
  <c r="B111" i="4"/>
  <c r="B111" i="3"/>
  <c r="D114" i="2"/>
  <c r="B115" i="2"/>
  <c r="B115" i="4"/>
  <c r="B115" i="3"/>
  <c r="D118" i="2"/>
  <c r="B119" i="2"/>
  <c r="B119" i="4"/>
  <c r="B119" i="3"/>
  <c r="D122" i="2"/>
  <c r="B123" i="2"/>
  <c r="B123" i="4"/>
  <c r="B123" i="3"/>
  <c r="D126" i="2"/>
  <c r="B127" i="2"/>
  <c r="B127" i="4"/>
  <c r="B127" i="3"/>
  <c r="D130" i="2"/>
  <c r="B131" i="2"/>
  <c r="B131" i="4"/>
  <c r="B131" i="3"/>
  <c r="D134" i="2"/>
  <c r="B135" i="2"/>
  <c r="B135" i="4"/>
  <c r="B135" i="3"/>
  <c r="D138" i="2"/>
  <c r="B139" i="2"/>
  <c r="B139" i="4"/>
  <c r="B139" i="3"/>
  <c r="D142" i="2"/>
  <c r="B143" i="2"/>
  <c r="B143" i="4"/>
  <c r="B143" i="3"/>
  <c r="D146" i="2"/>
  <c r="B147" i="2"/>
  <c r="B147" i="4"/>
  <c r="B147" i="3"/>
  <c r="D150" i="2"/>
  <c r="B151" i="2"/>
  <c r="B151" i="4"/>
  <c r="B151" i="3"/>
  <c r="D154" i="2"/>
  <c r="B155" i="2"/>
  <c r="B155" i="4"/>
  <c r="B155" i="3"/>
  <c r="D158" i="2"/>
  <c r="B159" i="2"/>
  <c r="B159" i="4"/>
  <c r="B159" i="3"/>
  <c r="D162" i="2"/>
  <c r="B163" i="2"/>
  <c r="B163" i="4"/>
  <c r="B163" i="3"/>
  <c r="D166" i="2"/>
  <c r="B167" i="2"/>
  <c r="B167" i="4"/>
  <c r="B167" i="3"/>
  <c r="D170" i="2"/>
  <c r="B171" i="2"/>
  <c r="B171" i="4"/>
  <c r="B171" i="3"/>
  <c r="D174" i="2"/>
  <c r="B175" i="2"/>
  <c r="B175" i="4"/>
  <c r="B175" i="3"/>
  <c r="D178" i="2"/>
  <c r="B179" i="2"/>
  <c r="B179" i="4"/>
  <c r="B179" i="3"/>
  <c r="D182" i="2"/>
  <c r="B183" i="2"/>
  <c r="B183" i="4"/>
  <c r="B183" i="3"/>
  <c r="D186" i="2"/>
  <c r="B187" i="2"/>
  <c r="B187" i="4"/>
  <c r="B187" i="3"/>
  <c r="D190" i="2"/>
  <c r="B191" i="2"/>
  <c r="B191" i="4"/>
  <c r="B191" i="3"/>
  <c r="D194" i="2"/>
  <c r="B195" i="2"/>
  <c r="B195" i="4"/>
  <c r="B195" i="3"/>
  <c r="D198" i="2"/>
  <c r="B199" i="2"/>
  <c r="B199" i="4"/>
  <c r="B199" i="3"/>
  <c r="D202" i="2"/>
  <c r="B203" i="2"/>
  <c r="B203" i="4"/>
  <c r="B203" i="3"/>
  <c r="D206" i="2"/>
  <c r="B207" i="2"/>
  <c r="B207" i="4"/>
  <c r="B207" i="3"/>
  <c r="D210" i="2"/>
  <c r="B211" i="2"/>
  <c r="B211" i="4"/>
  <c r="B211" i="3"/>
  <c r="D214" i="2"/>
  <c r="B215" i="2"/>
  <c r="B215" i="4"/>
  <c r="B215" i="3"/>
  <c r="D218" i="2"/>
  <c r="B219" i="2"/>
  <c r="B219" i="4"/>
  <c r="B219" i="3"/>
  <c r="D222" i="2"/>
  <c r="B223" i="2"/>
  <c r="B223" i="4"/>
  <c r="B223" i="3"/>
  <c r="D226" i="2"/>
  <c r="B227" i="2"/>
  <c r="B227" i="4"/>
  <c r="B227" i="3"/>
  <c r="D230" i="2"/>
  <c r="B231" i="2"/>
  <c r="B231" i="4"/>
  <c r="B231" i="3"/>
  <c r="D234" i="2"/>
  <c r="B235" i="2"/>
  <c r="B235" i="4"/>
  <c r="B235" i="3"/>
  <c r="D238" i="2"/>
  <c r="B239" i="2"/>
  <c r="B239" i="4"/>
  <c r="B239" i="3"/>
  <c r="D242" i="2"/>
  <c r="B243" i="2"/>
  <c r="B243" i="4"/>
  <c r="B243" i="3"/>
  <c r="D246" i="2"/>
  <c r="B247" i="2"/>
  <c r="B247" i="4"/>
  <c r="B247" i="3"/>
  <c r="D250" i="2"/>
  <c r="B251" i="2"/>
  <c r="B251" i="4"/>
  <c r="B251" i="3"/>
  <c r="D254" i="2"/>
  <c r="B255" i="2"/>
  <c r="B255" i="4"/>
  <c r="B255" i="3"/>
  <c r="D258" i="2"/>
  <c r="B259" i="2"/>
  <c r="B259" i="4"/>
  <c r="B259" i="3"/>
  <c r="D262" i="2"/>
  <c r="B263" i="2"/>
  <c r="B263" i="4"/>
  <c r="B263" i="3"/>
  <c r="D266" i="2"/>
  <c r="B267" i="2"/>
  <c r="B267" i="4"/>
  <c r="B267" i="3"/>
  <c r="D270" i="2"/>
  <c r="B271" i="2"/>
  <c r="B271" i="4"/>
  <c r="B271" i="3"/>
  <c r="D274" i="2"/>
  <c r="B275" i="2"/>
  <c r="B275" i="4"/>
  <c r="B275" i="3"/>
  <c r="D278" i="2"/>
  <c r="B279" i="2"/>
  <c r="B279" i="4"/>
  <c r="B279" i="3"/>
  <c r="D282" i="2"/>
  <c r="B283" i="2"/>
  <c r="B283" i="4"/>
  <c r="B283" i="3"/>
  <c r="D286" i="2"/>
  <c r="B287" i="2"/>
  <c r="B287" i="4"/>
  <c r="B287" i="3"/>
  <c r="D290" i="2"/>
  <c r="B291" i="2"/>
  <c r="B291" i="4"/>
  <c r="B291" i="3"/>
  <c r="D294" i="2"/>
  <c r="B295" i="2"/>
  <c r="B295" i="4"/>
  <c r="B295" i="3"/>
  <c r="D298" i="2"/>
  <c r="B299" i="2"/>
  <c r="B299" i="4"/>
  <c r="B299" i="3"/>
  <c r="D302" i="2"/>
  <c r="B303" i="2"/>
  <c r="B303" i="4"/>
  <c r="B303" i="3"/>
  <c r="B307" i="2"/>
  <c r="B307" i="4"/>
  <c r="B307" i="3"/>
  <c r="C11" i="2"/>
  <c r="C11" i="4"/>
  <c r="C11" i="3"/>
  <c r="A12" i="2"/>
  <c r="A12" i="4"/>
  <c r="A12" i="3"/>
  <c r="C15" i="2"/>
  <c r="C15" i="4"/>
  <c r="C15" i="3"/>
  <c r="A16" i="2"/>
  <c r="A16" i="4"/>
  <c r="A16" i="3"/>
  <c r="C19" i="2"/>
  <c r="C19" i="4"/>
  <c r="C19" i="3"/>
  <c r="A20" i="2"/>
  <c r="A20" i="4"/>
  <c r="A20" i="3"/>
  <c r="C23" i="2"/>
  <c r="C23" i="4"/>
  <c r="C23" i="3"/>
  <c r="A24" i="2"/>
  <c r="A24" i="4"/>
  <c r="A24" i="3"/>
  <c r="C27" i="2"/>
  <c r="C27" i="4"/>
  <c r="C27" i="3"/>
  <c r="A28" i="2"/>
  <c r="A28" i="4"/>
  <c r="A28" i="3"/>
  <c r="C31" i="2"/>
  <c r="C31" i="4"/>
  <c r="C31" i="3"/>
  <c r="A32" i="2"/>
  <c r="A32" i="4"/>
  <c r="A32" i="3"/>
  <c r="C35" i="2"/>
  <c r="C35" i="4"/>
  <c r="C35" i="3"/>
  <c r="A36" i="2"/>
  <c r="A36" i="4"/>
  <c r="A36" i="3"/>
  <c r="C39" i="2"/>
  <c r="C39" i="4"/>
  <c r="C39" i="3"/>
  <c r="A40" i="2"/>
  <c r="A40" i="4"/>
  <c r="A40" i="3"/>
  <c r="C43" i="2"/>
  <c r="C43" i="4"/>
  <c r="C43" i="3"/>
  <c r="A44" i="2"/>
  <c r="A44" i="4"/>
  <c r="A44" i="3"/>
  <c r="C47" i="2"/>
  <c r="C47" i="4"/>
  <c r="C47" i="3"/>
  <c r="A48" i="2"/>
  <c r="A48" i="4"/>
  <c r="A48" i="3"/>
  <c r="C51" i="2"/>
  <c r="C51" i="4"/>
  <c r="C51" i="3"/>
  <c r="A52" i="2"/>
  <c r="A52" i="4"/>
  <c r="A52" i="3"/>
  <c r="C55" i="2"/>
  <c r="C55" i="4"/>
  <c r="C55" i="3"/>
  <c r="A56" i="2"/>
  <c r="A56" i="4"/>
  <c r="A56" i="3"/>
  <c r="C59" i="2"/>
  <c r="C59" i="4"/>
  <c r="C59" i="3"/>
  <c r="A60" i="2"/>
  <c r="A60" i="4"/>
  <c r="A60" i="3"/>
  <c r="C63" i="2"/>
  <c r="C63" i="4"/>
  <c r="C63" i="3"/>
  <c r="A64" i="2"/>
  <c r="A64" i="4"/>
  <c r="A64" i="3"/>
  <c r="C67" i="2"/>
  <c r="C67" i="4"/>
  <c r="C67" i="3"/>
  <c r="A68" i="2"/>
  <c r="A68" i="4"/>
  <c r="A68" i="3"/>
  <c r="C71" i="2"/>
  <c r="C71" i="4"/>
  <c r="C71" i="3"/>
  <c r="A72" i="2"/>
  <c r="A72" i="4"/>
  <c r="A72" i="3"/>
  <c r="C75" i="2"/>
  <c r="C75" i="4"/>
  <c r="C75" i="3"/>
  <c r="A76" i="2"/>
  <c r="A76" i="4"/>
  <c r="A76" i="3"/>
  <c r="C79" i="2"/>
  <c r="C79" i="4"/>
  <c r="C79" i="3"/>
  <c r="A80" i="2"/>
  <c r="A80" i="4"/>
  <c r="A80" i="3"/>
  <c r="C83" i="2"/>
  <c r="C83" i="4"/>
  <c r="C83" i="3"/>
  <c r="A84" i="2"/>
  <c r="A84" i="4"/>
  <c r="A84" i="3"/>
  <c r="C87" i="2"/>
  <c r="C87" i="4"/>
  <c r="C87" i="3"/>
  <c r="A88" i="2"/>
  <c r="A88" i="4"/>
  <c r="A88" i="3"/>
  <c r="C91" i="2"/>
  <c r="C91" i="4"/>
  <c r="C91" i="3"/>
  <c r="A92" i="2"/>
  <c r="A92" i="4"/>
  <c r="A92" i="3"/>
  <c r="C95" i="2"/>
  <c r="C95" i="4"/>
  <c r="C95" i="3"/>
  <c r="A96" i="2"/>
  <c r="A96" i="4"/>
  <c r="A96" i="3"/>
  <c r="C99" i="2"/>
  <c r="C99" i="4"/>
  <c r="C99" i="3"/>
  <c r="A100" i="2"/>
  <c r="A100" i="4"/>
  <c r="A100" i="3"/>
  <c r="C103" i="2"/>
  <c r="C103" i="4"/>
  <c r="C103" i="3"/>
  <c r="A104" i="2"/>
  <c r="A104" i="4"/>
  <c r="A104" i="3"/>
  <c r="C107" i="2"/>
  <c r="C107" i="4"/>
  <c r="C107" i="3"/>
  <c r="A108" i="2"/>
  <c r="A108" i="4"/>
  <c r="A108" i="3"/>
  <c r="C111" i="2"/>
  <c r="C111" i="4"/>
  <c r="C111" i="3"/>
  <c r="A112" i="2"/>
  <c r="A112" i="4"/>
  <c r="A112" i="3"/>
  <c r="C115" i="2"/>
  <c r="C115" i="4"/>
  <c r="C115" i="3"/>
  <c r="A116" i="2"/>
  <c r="A116" i="4"/>
  <c r="A116" i="3"/>
  <c r="C119" i="2"/>
  <c r="C119" i="4"/>
  <c r="C119" i="3"/>
  <c r="A120" i="2"/>
  <c r="A120" i="4"/>
  <c r="A120" i="3"/>
  <c r="C123" i="2"/>
  <c r="C123" i="4"/>
  <c r="C123" i="3"/>
  <c r="A124" i="2"/>
  <c r="A124" i="4"/>
  <c r="A124" i="3"/>
  <c r="C127" i="2"/>
  <c r="C127" i="4"/>
  <c r="C127" i="3"/>
  <c r="A128" i="2"/>
  <c r="A128" i="4"/>
  <c r="A128" i="3"/>
  <c r="C131" i="2"/>
  <c r="C131" i="4"/>
  <c r="C131" i="3"/>
  <c r="A132" i="2"/>
  <c r="A132" i="4"/>
  <c r="A132" i="3"/>
  <c r="C135" i="2"/>
  <c r="C135" i="4"/>
  <c r="C135" i="3"/>
  <c r="A136" i="2"/>
  <c r="A136" i="4"/>
  <c r="A136" i="3"/>
  <c r="C139" i="2"/>
  <c r="C139" i="4"/>
  <c r="C139" i="3"/>
  <c r="A140" i="2"/>
  <c r="A140" i="4"/>
  <c r="A140" i="3"/>
  <c r="C143" i="2"/>
  <c r="C143" i="4"/>
  <c r="C143" i="3"/>
  <c r="A144" i="2"/>
  <c r="A144" i="4"/>
  <c r="A144" i="3"/>
  <c r="C147" i="2"/>
  <c r="C147" i="4"/>
  <c r="C147" i="3"/>
  <c r="A148" i="2"/>
  <c r="A148" i="4"/>
  <c r="A148" i="3"/>
  <c r="C151" i="2"/>
  <c r="C151" i="4"/>
  <c r="C151" i="3"/>
  <c r="A152" i="2"/>
  <c r="A152" i="4"/>
  <c r="A152" i="3"/>
  <c r="C155" i="2"/>
  <c r="C155" i="4"/>
  <c r="C155" i="3"/>
  <c r="A156" i="2"/>
  <c r="A156" i="4"/>
  <c r="A156" i="3"/>
  <c r="C159" i="2"/>
  <c r="C159" i="4"/>
  <c r="C159" i="3"/>
  <c r="A160" i="2"/>
  <c r="A160" i="4"/>
  <c r="A160" i="3"/>
  <c r="C163" i="2"/>
  <c r="C163" i="4"/>
  <c r="C163" i="3"/>
  <c r="A164" i="2"/>
  <c r="A164" i="4"/>
  <c r="A164" i="3"/>
  <c r="C167" i="2"/>
  <c r="C167" i="4"/>
  <c r="C167" i="3"/>
  <c r="A168" i="2"/>
  <c r="A168" i="4"/>
  <c r="A168" i="3"/>
  <c r="C171" i="2"/>
  <c r="C171" i="4"/>
  <c r="C171" i="3"/>
  <c r="A172" i="2"/>
  <c r="A172" i="4"/>
  <c r="A172" i="3"/>
  <c r="C175" i="2"/>
  <c r="C175" i="4"/>
  <c r="C175" i="3"/>
  <c r="A176" i="2"/>
  <c r="A176" i="4"/>
  <c r="A176" i="3"/>
  <c r="C179" i="2"/>
  <c r="C179" i="4"/>
  <c r="C179" i="3"/>
  <c r="A180" i="2"/>
  <c r="A180" i="4"/>
  <c r="A180" i="3"/>
  <c r="C183" i="2"/>
  <c r="C183" i="4"/>
  <c r="C183" i="3"/>
  <c r="A184" i="2"/>
  <c r="A184" i="4"/>
  <c r="A184" i="3"/>
  <c r="C187" i="2"/>
  <c r="C187" i="4"/>
  <c r="C187" i="3"/>
  <c r="A188" i="2"/>
  <c r="A188" i="4"/>
  <c r="A188" i="3"/>
  <c r="C191" i="2"/>
  <c r="C191" i="4"/>
  <c r="C191" i="3"/>
  <c r="A192" i="2"/>
  <c r="A192" i="4"/>
  <c r="A192" i="3"/>
  <c r="C195" i="2"/>
  <c r="C195" i="4"/>
  <c r="C195" i="3"/>
  <c r="A196" i="2"/>
  <c r="A196" i="4"/>
  <c r="A196" i="3"/>
  <c r="C199" i="2"/>
  <c r="C199" i="4"/>
  <c r="C199" i="3"/>
  <c r="A200" i="2"/>
  <c r="A200" i="4"/>
  <c r="A200" i="3"/>
  <c r="C203" i="2"/>
  <c r="C203" i="4"/>
  <c r="C203" i="3"/>
  <c r="A204" i="2"/>
  <c r="A204" i="4"/>
  <c r="A204" i="3"/>
  <c r="C207" i="2"/>
  <c r="C207" i="4"/>
  <c r="C207" i="3"/>
  <c r="A208" i="2"/>
  <c r="A208" i="4"/>
  <c r="A208" i="3"/>
  <c r="C211" i="2"/>
  <c r="C211" i="4"/>
  <c r="C211" i="3"/>
  <c r="A212" i="2"/>
  <c r="A212" i="4"/>
  <c r="A212" i="3"/>
  <c r="C215" i="2"/>
  <c r="C215" i="4"/>
  <c r="C215" i="3"/>
  <c r="A216" i="2"/>
  <c r="A216" i="4"/>
  <c r="A216" i="3"/>
  <c r="C219" i="2"/>
  <c r="C219" i="4"/>
  <c r="C219" i="3"/>
  <c r="A220" i="2"/>
  <c r="A220" i="4"/>
  <c r="A220" i="3"/>
  <c r="C223" i="2"/>
  <c r="C223" i="4"/>
  <c r="C223" i="3"/>
  <c r="A224" i="2"/>
  <c r="A224" i="4"/>
  <c r="A224" i="3"/>
  <c r="C227" i="2"/>
  <c r="C227" i="4"/>
  <c r="C227" i="3"/>
  <c r="A228" i="2"/>
  <c r="A228" i="4"/>
  <c r="A228" i="3"/>
  <c r="C231" i="2"/>
  <c r="C231" i="4"/>
  <c r="C231" i="3"/>
  <c r="A232" i="2"/>
  <c r="A232" i="4"/>
  <c r="A232" i="3"/>
  <c r="C235" i="2"/>
  <c r="C235" i="4"/>
  <c r="C235" i="3"/>
  <c r="A236" i="2"/>
  <c r="A236" i="4"/>
  <c r="A236" i="3"/>
  <c r="C239" i="2"/>
  <c r="C239" i="4"/>
  <c r="C239" i="3"/>
  <c r="A240" i="2"/>
  <c r="A240" i="4"/>
  <c r="A240" i="3"/>
  <c r="C243" i="2"/>
  <c r="C243" i="4"/>
  <c r="C243" i="3"/>
  <c r="A244" i="2"/>
  <c r="A244" i="4"/>
  <c r="A244" i="3"/>
  <c r="C247" i="2"/>
  <c r="C247" i="4"/>
  <c r="C247" i="3"/>
  <c r="A248" i="2"/>
  <c r="A248" i="4"/>
  <c r="A248" i="3"/>
  <c r="C251" i="2"/>
  <c r="C251" i="4"/>
  <c r="C251" i="3"/>
  <c r="A252" i="2"/>
  <c r="A252" i="4"/>
  <c r="A252" i="3"/>
  <c r="C255" i="2"/>
  <c r="C255" i="4"/>
  <c r="C255" i="3"/>
  <c r="A256" i="2"/>
  <c r="A256" i="4"/>
  <c r="A256" i="3"/>
  <c r="C259" i="2"/>
  <c r="C259" i="4"/>
  <c r="C259" i="3"/>
  <c r="A260" i="2"/>
  <c r="A260" i="4"/>
  <c r="A260" i="3"/>
  <c r="C263" i="2"/>
  <c r="C263" i="4"/>
  <c r="C263" i="3"/>
  <c r="A264" i="2"/>
  <c r="A264" i="4"/>
  <c r="A264" i="3"/>
  <c r="C267" i="2"/>
  <c r="C267" i="4"/>
  <c r="C267" i="3"/>
  <c r="A268" i="2"/>
  <c r="A268" i="4"/>
  <c r="A268" i="3"/>
  <c r="C271" i="2"/>
  <c r="C271" i="4"/>
  <c r="C271" i="3"/>
  <c r="A272" i="2"/>
  <c r="A272" i="4"/>
  <c r="A272" i="3"/>
  <c r="C275" i="2"/>
  <c r="C275" i="4"/>
  <c r="C275" i="3"/>
  <c r="A276" i="2"/>
  <c r="A276" i="4"/>
  <c r="A276" i="3"/>
  <c r="C279" i="2"/>
  <c r="C279" i="4"/>
  <c r="C279" i="3"/>
  <c r="A280" i="2"/>
  <c r="A280" i="4"/>
  <c r="A280" i="3"/>
  <c r="C283" i="2"/>
  <c r="C283" i="4"/>
  <c r="C283" i="3"/>
  <c r="A284" i="2"/>
  <c r="A284" i="4"/>
  <c r="A284" i="3"/>
  <c r="C287" i="2"/>
  <c r="C287" i="4"/>
  <c r="C287" i="3"/>
  <c r="A288" i="2"/>
  <c r="A288" i="4"/>
  <c r="A288" i="3"/>
  <c r="C291" i="2"/>
  <c r="C291" i="4"/>
  <c r="C291" i="3"/>
  <c r="A292" i="2"/>
  <c r="A292" i="4"/>
  <c r="A292" i="3"/>
  <c r="C295" i="2"/>
  <c r="C295" i="4"/>
  <c r="C295" i="3"/>
  <c r="A296" i="2"/>
  <c r="A296" i="4"/>
  <c r="A296" i="3"/>
  <c r="C299" i="2"/>
  <c r="C299" i="4"/>
  <c r="C299" i="3"/>
  <c r="A300" i="2"/>
  <c r="A300" i="4"/>
  <c r="A300" i="3"/>
  <c r="C303" i="2"/>
  <c r="C303" i="4"/>
  <c r="C303" i="3"/>
  <c r="A304" i="2"/>
  <c r="A304" i="4"/>
  <c r="A304" i="3"/>
  <c r="C307" i="2"/>
  <c r="C307" i="4"/>
  <c r="C307" i="3"/>
  <c r="A8" i="2"/>
  <c r="A8" i="4"/>
  <c r="A8" i="3"/>
  <c r="D11" i="2"/>
  <c r="B12" i="2"/>
  <c r="B12" i="4"/>
  <c r="B12" i="3"/>
  <c r="D15" i="2"/>
  <c r="B16" i="2"/>
  <c r="B16" i="4"/>
  <c r="B16" i="3"/>
  <c r="D19" i="2"/>
  <c r="B20" i="2"/>
  <c r="B20" i="4"/>
  <c r="B20" i="3"/>
  <c r="D23" i="2"/>
  <c r="B24" i="2"/>
  <c r="B24" i="4"/>
  <c r="B24" i="3"/>
  <c r="D27" i="2"/>
  <c r="B28" i="2"/>
  <c r="B28" i="4"/>
  <c r="B28" i="3"/>
  <c r="D31" i="2"/>
  <c r="B32" i="2"/>
  <c r="B32" i="4"/>
  <c r="B32" i="3"/>
  <c r="D35" i="2"/>
  <c r="B36" i="2"/>
  <c r="B36" i="4"/>
  <c r="B36" i="3"/>
  <c r="D39" i="2"/>
  <c r="B40" i="2"/>
  <c r="B40" i="4"/>
  <c r="B40" i="3"/>
  <c r="D43" i="2"/>
  <c r="B44" i="2"/>
  <c r="B44" i="4"/>
  <c r="B44" i="3"/>
  <c r="D47" i="2"/>
  <c r="B48" i="2"/>
  <c r="B48" i="4"/>
  <c r="B48" i="3"/>
  <c r="D51" i="2"/>
  <c r="B52" i="2"/>
  <c r="B52" i="4"/>
  <c r="B52" i="3"/>
  <c r="D55" i="2"/>
  <c r="B56" i="2"/>
  <c r="B56" i="4"/>
  <c r="B56" i="3"/>
  <c r="D59" i="2"/>
  <c r="B60" i="2"/>
  <c r="B60" i="4"/>
  <c r="B60" i="3"/>
  <c r="D63" i="2"/>
  <c r="B64" i="2"/>
  <c r="B64" i="4"/>
  <c r="B64" i="3"/>
  <c r="D67" i="2"/>
  <c r="B68" i="2"/>
  <c r="B68" i="4"/>
  <c r="B68" i="3"/>
  <c r="D71" i="2"/>
  <c r="B72" i="2"/>
  <c r="B72" i="4"/>
  <c r="B72" i="3"/>
  <c r="D75" i="2"/>
  <c r="B76" i="2"/>
  <c r="B76" i="4"/>
  <c r="B76" i="3"/>
  <c r="D79" i="2"/>
  <c r="B80" i="2"/>
  <c r="B80" i="4"/>
  <c r="B80" i="3"/>
  <c r="D83" i="2"/>
  <c r="B84" i="2"/>
  <c r="B84" i="4"/>
  <c r="B84" i="3"/>
  <c r="D87" i="2"/>
  <c r="B88" i="2"/>
  <c r="B88" i="4"/>
  <c r="B88" i="3"/>
  <c r="D91" i="2"/>
  <c r="B92" i="2"/>
  <c r="B92" i="4"/>
  <c r="B92" i="3"/>
  <c r="D95" i="2"/>
  <c r="B96" i="2"/>
  <c r="B96" i="4"/>
  <c r="B96" i="3"/>
  <c r="D99" i="2"/>
  <c r="B100" i="2"/>
  <c r="B100" i="4"/>
  <c r="B100" i="3"/>
  <c r="D103" i="2"/>
  <c r="B104" i="2"/>
  <c r="B104" i="4"/>
  <c r="B104" i="3"/>
  <c r="D107" i="2"/>
  <c r="B108" i="2"/>
  <c r="B108" i="4"/>
  <c r="B108" i="3"/>
  <c r="D111" i="2"/>
  <c r="B112" i="2"/>
  <c r="B112" i="4"/>
  <c r="B112" i="3"/>
  <c r="D115" i="2"/>
  <c r="B116" i="2"/>
  <c r="B116" i="4"/>
  <c r="B116" i="3"/>
  <c r="D119" i="2"/>
  <c r="B120" i="2"/>
  <c r="B120" i="4"/>
  <c r="B120" i="3"/>
  <c r="D123" i="2"/>
  <c r="B124" i="2"/>
  <c r="B124" i="4"/>
  <c r="B124" i="3"/>
  <c r="D127" i="2"/>
  <c r="B128" i="2"/>
  <c r="B128" i="4"/>
  <c r="B128" i="3"/>
  <c r="D131" i="2"/>
  <c r="B132" i="2"/>
  <c r="B132" i="4"/>
  <c r="B132" i="3"/>
  <c r="D135" i="2"/>
  <c r="B136" i="2"/>
  <c r="B136" i="4"/>
  <c r="B136" i="3"/>
  <c r="D139" i="2"/>
  <c r="B140" i="2"/>
  <c r="B140" i="4"/>
  <c r="B140" i="3"/>
  <c r="D143" i="2"/>
  <c r="B144" i="2"/>
  <c r="B144" i="4"/>
  <c r="B144" i="3"/>
  <c r="D147" i="2"/>
  <c r="B148" i="2"/>
  <c r="B148" i="4"/>
  <c r="B148" i="3"/>
  <c r="D151" i="2"/>
  <c r="B152" i="2"/>
  <c r="B152" i="4"/>
  <c r="B152" i="3"/>
  <c r="D155" i="2"/>
  <c r="B156" i="2"/>
  <c r="B156" i="4"/>
  <c r="B156" i="3"/>
  <c r="D159" i="2"/>
  <c r="B160" i="2"/>
  <c r="B160" i="4"/>
  <c r="B160" i="3"/>
  <c r="D163" i="2"/>
  <c r="B164" i="2"/>
  <c r="B164" i="4"/>
  <c r="B164" i="3"/>
  <c r="D167" i="2"/>
  <c r="B168" i="2"/>
  <c r="B168" i="4"/>
  <c r="B168" i="3"/>
  <c r="D171" i="2"/>
  <c r="B172" i="2"/>
  <c r="B172" i="4"/>
  <c r="B172" i="3"/>
  <c r="D175" i="2"/>
  <c r="B176" i="2"/>
  <c r="B176" i="4"/>
  <c r="B176" i="3"/>
  <c r="D179" i="2"/>
  <c r="B180" i="2"/>
  <c r="B180" i="4"/>
  <c r="B180" i="3"/>
  <c r="D183" i="2"/>
  <c r="B184" i="2"/>
  <c r="B184" i="4"/>
  <c r="B184" i="3"/>
  <c r="D187" i="2"/>
  <c r="B188" i="2"/>
  <c r="B188" i="4"/>
  <c r="B188" i="3"/>
  <c r="D191" i="2"/>
  <c r="B192" i="2"/>
  <c r="B192" i="4"/>
  <c r="B192" i="3"/>
  <c r="D195" i="2"/>
  <c r="B196" i="2"/>
  <c r="B196" i="4"/>
  <c r="B196" i="3"/>
  <c r="D199" i="2"/>
  <c r="B200" i="2"/>
  <c r="B200" i="4"/>
  <c r="B200" i="3"/>
  <c r="D203" i="2"/>
  <c r="B204" i="2"/>
  <c r="B204" i="4"/>
  <c r="B204" i="3"/>
  <c r="D207" i="2"/>
  <c r="B208" i="2"/>
  <c r="B208" i="4"/>
  <c r="B208" i="3"/>
  <c r="D211" i="2"/>
  <c r="B212" i="2"/>
  <c r="B212" i="4"/>
  <c r="B212" i="3"/>
  <c r="D215" i="2"/>
  <c r="B216" i="2"/>
  <c r="B216" i="4"/>
  <c r="B216" i="3"/>
  <c r="D219" i="2"/>
  <c r="B220" i="2"/>
  <c r="B220" i="4"/>
  <c r="B220" i="3"/>
  <c r="D223" i="2"/>
  <c r="B224" i="2"/>
  <c r="B224" i="4"/>
  <c r="B224" i="3"/>
  <c r="D227" i="2"/>
  <c r="B228" i="2"/>
  <c r="B228" i="4"/>
  <c r="B228" i="3"/>
  <c r="D231" i="2"/>
  <c r="B232" i="2"/>
  <c r="B232" i="4"/>
  <c r="B232" i="3"/>
  <c r="D235" i="2"/>
  <c r="B236" i="2"/>
  <c r="B236" i="4"/>
  <c r="B236" i="3"/>
  <c r="D239" i="2"/>
  <c r="B240" i="2"/>
  <c r="B240" i="4"/>
  <c r="B240" i="3"/>
  <c r="D243" i="2"/>
  <c r="B244" i="2"/>
  <c r="B244" i="4"/>
  <c r="B244" i="3"/>
  <c r="D247" i="2"/>
  <c r="B248" i="2"/>
  <c r="B248" i="4"/>
  <c r="B248" i="3"/>
  <c r="D251" i="2"/>
  <c r="B252" i="2"/>
  <c r="B252" i="4"/>
  <c r="B252" i="3"/>
  <c r="D255" i="2"/>
  <c r="B256" i="2"/>
  <c r="B256" i="4"/>
  <c r="B256" i="3"/>
  <c r="D259" i="2"/>
  <c r="B260" i="2"/>
  <c r="B260" i="4"/>
  <c r="B260" i="3"/>
  <c r="D263" i="2"/>
  <c r="B264" i="2"/>
  <c r="B264" i="4"/>
  <c r="B264" i="3"/>
  <c r="D267" i="2"/>
  <c r="B268" i="2"/>
  <c r="B268" i="4"/>
  <c r="B268" i="3"/>
  <c r="D271" i="2"/>
  <c r="B272" i="2"/>
  <c r="B272" i="4"/>
  <c r="B272" i="3"/>
  <c r="D275" i="2"/>
  <c r="B276" i="2"/>
  <c r="B276" i="4"/>
  <c r="B276" i="3"/>
  <c r="D279" i="2"/>
  <c r="B280" i="2"/>
  <c r="B280" i="4"/>
  <c r="B280" i="3"/>
  <c r="D283" i="2"/>
  <c r="B284" i="2"/>
  <c r="B284" i="4"/>
  <c r="B284" i="3"/>
  <c r="D287" i="2"/>
  <c r="B288" i="2"/>
  <c r="B288" i="4"/>
  <c r="B288" i="3"/>
  <c r="D291" i="2"/>
  <c r="B292" i="2"/>
  <c r="B292" i="4"/>
  <c r="B292" i="3"/>
  <c r="D295" i="2"/>
  <c r="B296" i="2"/>
  <c r="B296" i="4"/>
  <c r="B296" i="3"/>
  <c r="D299" i="2"/>
  <c r="B300" i="2"/>
  <c r="B300" i="4"/>
  <c r="B300" i="3"/>
  <c r="D303" i="2"/>
  <c r="B304" i="2"/>
  <c r="B304" i="4"/>
  <c r="B304" i="3"/>
  <c r="D307" i="2"/>
  <c r="B8" i="2"/>
  <c r="B8" i="4"/>
  <c r="B8" i="3"/>
  <c r="A9" i="2"/>
  <c r="A9" i="4"/>
  <c r="A9" i="3"/>
  <c r="C12" i="2"/>
  <c r="C12" i="4"/>
  <c r="C12" i="3"/>
  <c r="A13" i="2"/>
  <c r="A13" i="4"/>
  <c r="A13" i="3"/>
  <c r="C16" i="2"/>
  <c r="C16" i="4"/>
  <c r="C16" i="3"/>
  <c r="A17" i="2"/>
  <c r="A17" i="4"/>
  <c r="A17" i="3"/>
  <c r="C20" i="2"/>
  <c r="C20" i="4"/>
  <c r="C20" i="3"/>
  <c r="A21" i="2"/>
  <c r="A21" i="4"/>
  <c r="A21" i="3"/>
  <c r="C24" i="2"/>
  <c r="C24" i="4"/>
  <c r="C24" i="3"/>
  <c r="A25" i="2"/>
  <c r="A25" i="4"/>
  <c r="A25" i="3"/>
  <c r="C28" i="2"/>
  <c r="C28" i="4"/>
  <c r="C28" i="3"/>
  <c r="A29" i="2"/>
  <c r="A29" i="4"/>
  <c r="A29" i="3"/>
  <c r="C32" i="2"/>
  <c r="C32" i="4"/>
  <c r="C32" i="3"/>
  <c r="A33" i="2"/>
  <c r="A33" i="4"/>
  <c r="A33" i="3"/>
  <c r="C36" i="2"/>
  <c r="C36" i="4"/>
  <c r="C36" i="3"/>
  <c r="A37" i="2"/>
  <c r="A37" i="4"/>
  <c r="A37" i="3"/>
  <c r="C40" i="2"/>
  <c r="C40" i="4"/>
  <c r="C40" i="3"/>
  <c r="A41" i="2"/>
  <c r="A41" i="4"/>
  <c r="A41" i="3"/>
  <c r="C44" i="2"/>
  <c r="C44" i="4"/>
  <c r="C44" i="3"/>
  <c r="A45" i="2"/>
  <c r="A45" i="4"/>
  <c r="A45" i="3"/>
  <c r="C48" i="2"/>
  <c r="C48" i="4"/>
  <c r="C48" i="3"/>
  <c r="A49" i="2"/>
  <c r="A49" i="4"/>
  <c r="A49" i="3"/>
  <c r="C52" i="2"/>
  <c r="C52" i="4"/>
  <c r="C52" i="3"/>
  <c r="A53" i="2"/>
  <c r="A53" i="4"/>
  <c r="A53" i="3"/>
  <c r="C56" i="2"/>
  <c r="C56" i="4"/>
  <c r="C56" i="3"/>
  <c r="A57" i="2"/>
  <c r="A57" i="4"/>
  <c r="A57" i="3"/>
  <c r="C60" i="2"/>
  <c r="C60" i="4"/>
  <c r="C60" i="3"/>
  <c r="A61" i="2"/>
  <c r="A61" i="4"/>
  <c r="A61" i="3"/>
  <c r="C64" i="2"/>
  <c r="C64" i="4"/>
  <c r="C64" i="3"/>
  <c r="A65" i="2"/>
  <c r="A65" i="4"/>
  <c r="A65" i="3"/>
  <c r="C68" i="2"/>
  <c r="C68" i="4"/>
  <c r="C68" i="3"/>
  <c r="A69" i="2"/>
  <c r="A69" i="4"/>
  <c r="A69" i="3"/>
  <c r="C72" i="2"/>
  <c r="C72" i="4"/>
  <c r="C72" i="3"/>
  <c r="A73" i="2"/>
  <c r="A73" i="4"/>
  <c r="A73" i="3"/>
  <c r="C76" i="2"/>
  <c r="C76" i="4"/>
  <c r="C76" i="3"/>
  <c r="A77" i="2"/>
  <c r="A77" i="4"/>
  <c r="A77" i="3"/>
  <c r="C80" i="2"/>
  <c r="C80" i="4"/>
  <c r="C80" i="3"/>
  <c r="A81" i="2"/>
  <c r="A81" i="4"/>
  <c r="A81" i="3"/>
  <c r="C84" i="2"/>
  <c r="C84" i="4"/>
  <c r="C84" i="3"/>
  <c r="A85" i="2"/>
  <c r="A85" i="4"/>
  <c r="A85" i="3"/>
  <c r="C88" i="2"/>
  <c r="C88" i="4"/>
  <c r="C88" i="3"/>
  <c r="A89" i="2"/>
  <c r="A89" i="4"/>
  <c r="A89" i="3"/>
  <c r="C92" i="2"/>
  <c r="C92" i="4"/>
  <c r="C92" i="3"/>
  <c r="A93" i="2"/>
  <c r="A93" i="4"/>
  <c r="A93" i="3"/>
  <c r="C96" i="2"/>
  <c r="C96" i="4"/>
  <c r="C96" i="3"/>
  <c r="A97" i="2"/>
  <c r="A97" i="4"/>
  <c r="A97" i="3"/>
  <c r="C100" i="2"/>
  <c r="C100" i="4"/>
  <c r="C100" i="3"/>
  <c r="A101" i="2"/>
  <c r="A101" i="4"/>
  <c r="A101" i="3"/>
  <c r="C104" i="2"/>
  <c r="C104" i="4"/>
  <c r="C104" i="3"/>
  <c r="A105" i="2"/>
  <c r="A105" i="4"/>
  <c r="A105" i="3"/>
  <c r="C108" i="2"/>
  <c r="C108" i="4"/>
  <c r="C108" i="3"/>
  <c r="A109" i="2"/>
  <c r="A109" i="4"/>
  <c r="A109" i="3"/>
  <c r="C112" i="2"/>
  <c r="C112" i="4"/>
  <c r="C112" i="3"/>
  <c r="A113" i="2"/>
  <c r="A113" i="4"/>
  <c r="A113" i="3"/>
  <c r="C116" i="2"/>
  <c r="C116" i="4"/>
  <c r="C116" i="3"/>
  <c r="A117" i="2"/>
  <c r="A117" i="4"/>
  <c r="A117" i="3"/>
  <c r="C120" i="2"/>
  <c r="C120" i="4"/>
  <c r="C120" i="3"/>
  <c r="A121" i="2"/>
  <c r="A121" i="4"/>
  <c r="A121" i="3"/>
  <c r="C124" i="2"/>
  <c r="C124" i="4"/>
  <c r="C124" i="3"/>
  <c r="A125" i="2"/>
  <c r="A125" i="4"/>
  <c r="A125" i="3"/>
  <c r="C128" i="2"/>
  <c r="C128" i="4"/>
  <c r="C128" i="3"/>
  <c r="A129" i="2"/>
  <c r="A129" i="4"/>
  <c r="A129" i="3"/>
  <c r="C132" i="2"/>
  <c r="C132" i="4"/>
  <c r="C132" i="3"/>
  <c r="A133" i="2"/>
  <c r="A133" i="4"/>
  <c r="A133" i="3"/>
  <c r="C136" i="2"/>
  <c r="C136" i="4"/>
  <c r="C136" i="3"/>
  <c r="A137" i="2"/>
  <c r="A137" i="4"/>
  <c r="A137" i="3"/>
  <c r="C140" i="2"/>
  <c r="C140" i="4"/>
  <c r="C140" i="3"/>
  <c r="A141" i="2"/>
  <c r="A141" i="4"/>
  <c r="A141" i="3"/>
  <c r="C144" i="2"/>
  <c r="C144" i="4"/>
  <c r="C144" i="3"/>
  <c r="A145" i="2"/>
  <c r="A145" i="4"/>
  <c r="A145" i="3"/>
  <c r="C148" i="2"/>
  <c r="C148" i="4"/>
  <c r="C148" i="3"/>
  <c r="A149" i="2"/>
  <c r="A149" i="4"/>
  <c r="A149" i="3"/>
  <c r="C152" i="2"/>
  <c r="C152" i="4"/>
  <c r="C152" i="3"/>
  <c r="A153" i="2"/>
  <c r="A153" i="4"/>
  <c r="A153" i="3"/>
  <c r="C156" i="2"/>
  <c r="C156" i="4"/>
  <c r="C156" i="3"/>
  <c r="A157" i="2"/>
  <c r="A157" i="4"/>
  <c r="A157" i="3"/>
  <c r="C160" i="2"/>
  <c r="C160" i="4"/>
  <c r="C160" i="3"/>
  <c r="A161" i="2"/>
  <c r="A161" i="4"/>
  <c r="A161" i="3"/>
  <c r="C164" i="2"/>
  <c r="C164" i="4"/>
  <c r="C164" i="3"/>
  <c r="A165" i="2"/>
  <c r="A165" i="4"/>
  <c r="A165" i="3"/>
  <c r="C168" i="2"/>
  <c r="C168" i="4"/>
  <c r="C168" i="3"/>
  <c r="A169" i="2"/>
  <c r="A169" i="4"/>
  <c r="A169" i="3"/>
  <c r="C172" i="2"/>
  <c r="C172" i="4"/>
  <c r="C172" i="3"/>
  <c r="A173" i="2"/>
  <c r="A173" i="4"/>
  <c r="A173" i="3"/>
  <c r="C176" i="2"/>
  <c r="C176" i="4"/>
  <c r="C176" i="3"/>
  <c r="A177" i="2"/>
  <c r="A177" i="4"/>
  <c r="A177" i="3"/>
  <c r="C180" i="2"/>
  <c r="C180" i="4"/>
  <c r="C180" i="3"/>
  <c r="A181" i="2"/>
  <c r="A181" i="4"/>
  <c r="A181" i="3"/>
  <c r="C184" i="2"/>
  <c r="C184" i="4"/>
  <c r="C184" i="3"/>
  <c r="A185" i="2"/>
  <c r="A185" i="4"/>
  <c r="A185" i="3"/>
  <c r="C188" i="2"/>
  <c r="C188" i="4"/>
  <c r="C188" i="3"/>
  <c r="A189" i="2"/>
  <c r="A189" i="4"/>
  <c r="A189" i="3"/>
  <c r="C192" i="2"/>
  <c r="C192" i="4"/>
  <c r="C192" i="3"/>
  <c r="A193" i="2"/>
  <c r="A193" i="4"/>
  <c r="A193" i="3"/>
  <c r="C196" i="2"/>
  <c r="C196" i="4"/>
  <c r="C196" i="3"/>
  <c r="A197" i="2"/>
  <c r="A197" i="4"/>
  <c r="A197" i="3"/>
  <c r="C200" i="2"/>
  <c r="C200" i="4"/>
  <c r="C200" i="3"/>
  <c r="A201" i="2"/>
  <c r="A201" i="4"/>
  <c r="A201" i="3"/>
  <c r="C204" i="2"/>
  <c r="C204" i="4"/>
  <c r="C204" i="3"/>
  <c r="A205" i="2"/>
  <c r="A205" i="4"/>
  <c r="A205" i="3"/>
  <c r="C208" i="2"/>
  <c r="C208" i="4"/>
  <c r="C208" i="3"/>
  <c r="A209" i="2"/>
  <c r="A209" i="4"/>
  <c r="A209" i="3"/>
  <c r="C212" i="2"/>
  <c r="C212" i="4"/>
  <c r="C212" i="3"/>
  <c r="A213" i="2"/>
  <c r="A213" i="4"/>
  <c r="A213" i="3"/>
  <c r="C216" i="2"/>
  <c r="C216" i="4"/>
  <c r="C216" i="3"/>
  <c r="A217" i="2"/>
  <c r="A217" i="4"/>
  <c r="A217" i="3"/>
  <c r="C220" i="2"/>
  <c r="C220" i="4"/>
  <c r="C220" i="3"/>
  <c r="A221" i="2"/>
  <c r="A221" i="4"/>
  <c r="A221" i="3"/>
  <c r="C224" i="2"/>
  <c r="C224" i="4"/>
  <c r="C224" i="3"/>
  <c r="A225" i="2"/>
  <c r="A225" i="4"/>
  <c r="A225" i="3"/>
  <c r="C228" i="2"/>
  <c r="C228" i="4"/>
  <c r="C228" i="3"/>
  <c r="A229" i="2"/>
  <c r="A229" i="4"/>
  <c r="A229" i="3"/>
  <c r="C232" i="2"/>
  <c r="C232" i="4"/>
  <c r="C232" i="3"/>
  <c r="A233" i="2"/>
  <c r="A233" i="4"/>
  <c r="A233" i="3"/>
  <c r="C236" i="2"/>
  <c r="C236" i="4"/>
  <c r="C236" i="3"/>
  <c r="A237" i="2"/>
  <c r="A237" i="4"/>
  <c r="A237" i="3"/>
  <c r="C240" i="2"/>
  <c r="C240" i="4"/>
  <c r="C240" i="3"/>
  <c r="A241" i="2"/>
  <c r="A241" i="4"/>
  <c r="A241" i="3"/>
  <c r="C244" i="2"/>
  <c r="C244" i="4"/>
  <c r="C244" i="3"/>
  <c r="A245" i="2"/>
  <c r="A245" i="4"/>
  <c r="A245" i="3"/>
  <c r="C248" i="2"/>
  <c r="C248" i="4"/>
  <c r="C248" i="3"/>
  <c r="A249" i="2"/>
  <c r="A249" i="4"/>
  <c r="A249" i="3"/>
  <c r="C252" i="2"/>
  <c r="C252" i="4"/>
  <c r="C252" i="3"/>
  <c r="A253" i="2"/>
  <c r="A253" i="4"/>
  <c r="A253" i="3"/>
  <c r="C256" i="2"/>
  <c r="C256" i="4"/>
  <c r="C256" i="3"/>
  <c r="A257" i="2"/>
  <c r="A257" i="4"/>
  <c r="A257" i="3"/>
  <c r="C260" i="2"/>
  <c r="C260" i="4"/>
  <c r="C260" i="3"/>
  <c r="A261" i="2"/>
  <c r="A261" i="4"/>
  <c r="A261" i="3"/>
  <c r="C264" i="2"/>
  <c r="C264" i="4"/>
  <c r="C264" i="3"/>
  <c r="A265" i="2"/>
  <c r="A265" i="4"/>
  <c r="A265" i="3"/>
  <c r="C268" i="2"/>
  <c r="C268" i="4"/>
  <c r="C268" i="3"/>
  <c r="A269" i="2"/>
  <c r="A269" i="4"/>
  <c r="A269" i="3"/>
  <c r="C272" i="2"/>
  <c r="C272" i="4"/>
  <c r="C272" i="3"/>
  <c r="A273" i="2"/>
  <c r="A273" i="4"/>
  <c r="A273" i="3"/>
  <c r="C276" i="2"/>
  <c r="C276" i="4"/>
  <c r="C276" i="3"/>
  <c r="A277" i="2"/>
  <c r="A277" i="4"/>
  <c r="A277" i="3"/>
  <c r="C280" i="2"/>
  <c r="C280" i="4"/>
  <c r="C280" i="3"/>
  <c r="A281" i="2"/>
  <c r="A281" i="4"/>
  <c r="A281" i="3"/>
  <c r="C284" i="2"/>
  <c r="C284" i="4"/>
  <c r="C284" i="3"/>
  <c r="A285" i="2"/>
  <c r="A285" i="4"/>
  <c r="A285" i="3"/>
  <c r="C288" i="2"/>
  <c r="C288" i="4"/>
  <c r="C288" i="3"/>
  <c r="A289" i="2"/>
  <c r="A289" i="4"/>
  <c r="A289" i="3"/>
  <c r="C292" i="2"/>
  <c r="C292" i="4"/>
  <c r="C292" i="3"/>
  <c r="A293" i="2"/>
  <c r="A293" i="4"/>
  <c r="A293" i="3"/>
  <c r="C296" i="2"/>
  <c r="C296" i="4"/>
  <c r="C296" i="3"/>
  <c r="A297" i="2"/>
  <c r="A297" i="4"/>
  <c r="A297" i="3"/>
  <c r="C300" i="2"/>
  <c r="C300" i="4"/>
  <c r="C300" i="3"/>
  <c r="A301" i="2"/>
  <c r="A301" i="4"/>
  <c r="A301" i="3"/>
  <c r="C304" i="2"/>
  <c r="C304" i="4"/>
  <c r="C304" i="3"/>
  <c r="A305" i="2"/>
  <c r="A305" i="4"/>
  <c r="A305" i="3"/>
  <c r="B9" i="2"/>
  <c r="B9" i="4"/>
  <c r="B9" i="3"/>
  <c r="D12" i="2"/>
  <c r="B13" i="2"/>
  <c r="B13" i="4"/>
  <c r="B13" i="3"/>
  <c r="D16" i="2"/>
  <c r="B17" i="2"/>
  <c r="B17" i="4"/>
  <c r="B17" i="3"/>
  <c r="D20" i="2"/>
  <c r="B21" i="2"/>
  <c r="B21" i="4"/>
  <c r="B21" i="3"/>
  <c r="D24" i="2"/>
  <c r="B25" i="2"/>
  <c r="B25" i="4"/>
  <c r="B25" i="3"/>
  <c r="D28" i="2"/>
  <c r="B29" i="2"/>
  <c r="B29" i="4"/>
  <c r="B29" i="3"/>
  <c r="D32" i="2"/>
  <c r="B33" i="2"/>
  <c r="B33" i="4"/>
  <c r="B33" i="3"/>
  <c r="D36" i="2"/>
  <c r="B37" i="2"/>
  <c r="B37" i="4"/>
  <c r="B37" i="3"/>
  <c r="D40" i="2"/>
  <c r="B41" i="2"/>
  <c r="B41" i="4"/>
  <c r="B41" i="3"/>
  <c r="D44" i="2"/>
  <c r="B45" i="2"/>
  <c r="B45" i="4"/>
  <c r="B45" i="3"/>
  <c r="D48" i="2"/>
  <c r="B49" i="2"/>
  <c r="B49" i="4"/>
  <c r="B49" i="3"/>
  <c r="D52" i="2"/>
  <c r="B53" i="2"/>
  <c r="B53" i="4"/>
  <c r="B53" i="3"/>
  <c r="D56" i="2"/>
  <c r="B57" i="2"/>
  <c r="B57" i="4"/>
  <c r="B57" i="3"/>
  <c r="D60" i="2"/>
  <c r="B61" i="2"/>
  <c r="B61" i="4"/>
  <c r="B61" i="3"/>
  <c r="D64" i="2"/>
  <c r="B65" i="2"/>
  <c r="B65" i="4"/>
  <c r="B65" i="3"/>
  <c r="D68" i="2"/>
  <c r="B69" i="2"/>
  <c r="B69" i="4"/>
  <c r="B69" i="3"/>
  <c r="D72" i="2"/>
  <c r="B73" i="2"/>
  <c r="B73" i="4"/>
  <c r="B73" i="3"/>
  <c r="D76" i="2"/>
  <c r="B77" i="2"/>
  <c r="B77" i="4"/>
  <c r="B77" i="3"/>
  <c r="D80" i="2"/>
  <c r="B81" i="2"/>
  <c r="B81" i="4"/>
  <c r="B81" i="3"/>
  <c r="D84" i="2"/>
  <c r="B85" i="2"/>
  <c r="B85" i="4"/>
  <c r="B85" i="3"/>
  <c r="D88" i="2"/>
  <c r="B89" i="2"/>
  <c r="B89" i="4"/>
  <c r="B89" i="3"/>
  <c r="D92" i="2"/>
  <c r="B93" i="2"/>
  <c r="B93" i="4"/>
  <c r="B93" i="3"/>
  <c r="D96" i="2"/>
  <c r="B97" i="2"/>
  <c r="B97" i="4"/>
  <c r="B97" i="3"/>
  <c r="D100" i="2"/>
  <c r="B101" i="2"/>
  <c r="B101" i="4"/>
  <c r="B101" i="3"/>
  <c r="D104" i="2"/>
  <c r="B105" i="2"/>
  <c r="B105" i="4"/>
  <c r="B105" i="3"/>
  <c r="D108" i="2"/>
  <c r="B109" i="2"/>
  <c r="B109" i="4"/>
  <c r="B109" i="3"/>
  <c r="D112" i="2"/>
  <c r="B113" i="2"/>
  <c r="B113" i="4"/>
  <c r="B113" i="3"/>
  <c r="D116" i="2"/>
  <c r="B117" i="2"/>
  <c r="B117" i="4"/>
  <c r="B117" i="3"/>
  <c r="D120" i="2"/>
  <c r="B121" i="2"/>
  <c r="B121" i="4"/>
  <c r="B121" i="3"/>
  <c r="D124" i="2"/>
  <c r="B125" i="2"/>
  <c r="B125" i="4"/>
  <c r="B125" i="3"/>
  <c r="D128" i="2"/>
  <c r="B129" i="2"/>
  <c r="B129" i="4"/>
  <c r="B129" i="3"/>
  <c r="D132" i="2"/>
  <c r="B133" i="2"/>
  <c r="B133" i="4"/>
  <c r="B133" i="3"/>
  <c r="D136" i="2"/>
  <c r="B137" i="2"/>
  <c r="B137" i="4"/>
  <c r="B137" i="3"/>
  <c r="D140" i="2"/>
  <c r="B141" i="2"/>
  <c r="B141" i="4"/>
  <c r="B141" i="3"/>
  <c r="D144" i="2"/>
  <c r="B145" i="2"/>
  <c r="B145" i="4"/>
  <c r="B145" i="3"/>
  <c r="D148" i="2"/>
  <c r="B149" i="2"/>
  <c r="B149" i="4"/>
  <c r="B149" i="3"/>
  <c r="D152" i="2"/>
  <c r="B153" i="2"/>
  <c r="B153" i="4"/>
  <c r="B153" i="3"/>
  <c r="D156" i="2"/>
  <c r="B157" i="2"/>
  <c r="B157" i="4"/>
  <c r="B157" i="3"/>
  <c r="D160" i="2"/>
  <c r="B161" i="2"/>
  <c r="B161" i="4"/>
  <c r="B161" i="3"/>
  <c r="D164" i="2"/>
  <c r="B165" i="2"/>
  <c r="B165" i="4"/>
  <c r="B165" i="3"/>
  <c r="D168" i="2"/>
  <c r="B169" i="2"/>
  <c r="B169" i="4"/>
  <c r="B169" i="3"/>
  <c r="D172" i="2"/>
  <c r="B173" i="2"/>
  <c r="B173" i="4"/>
  <c r="B173" i="3"/>
  <c r="D176" i="2"/>
  <c r="B177" i="2"/>
  <c r="B177" i="4"/>
  <c r="B177" i="3"/>
  <c r="D180" i="2"/>
  <c r="B181" i="2"/>
  <c r="B181" i="4"/>
  <c r="B181" i="3"/>
  <c r="D184" i="2"/>
  <c r="B185" i="2"/>
  <c r="B185" i="4"/>
  <c r="B185" i="3"/>
  <c r="D188" i="2"/>
  <c r="B189" i="2"/>
  <c r="B189" i="4"/>
  <c r="B189" i="3"/>
  <c r="D192" i="2"/>
  <c r="B193" i="2"/>
  <c r="B193" i="4"/>
  <c r="B193" i="3"/>
  <c r="D196" i="2"/>
  <c r="B197" i="2"/>
  <c r="B197" i="4"/>
  <c r="B197" i="3"/>
  <c r="D200" i="2"/>
  <c r="B201" i="2"/>
  <c r="B201" i="4"/>
  <c r="B201" i="3"/>
  <c r="D204" i="2"/>
  <c r="B205" i="2"/>
  <c r="B205" i="4"/>
  <c r="B205" i="3"/>
  <c r="D208" i="2"/>
  <c r="B209" i="2"/>
  <c r="B209" i="4"/>
  <c r="B209" i="3"/>
  <c r="D212" i="2"/>
  <c r="B213" i="2"/>
  <c r="B213" i="4"/>
  <c r="B213" i="3"/>
  <c r="D216" i="2"/>
  <c r="B217" i="2"/>
  <c r="B217" i="4"/>
  <c r="B217" i="3"/>
  <c r="D220" i="2"/>
  <c r="B221" i="2"/>
  <c r="B221" i="4"/>
  <c r="B221" i="3"/>
  <c r="D224" i="2"/>
  <c r="B225" i="2"/>
  <c r="B225" i="4"/>
  <c r="B225" i="3"/>
  <c r="D228" i="2"/>
  <c r="B229" i="2"/>
  <c r="B229" i="4"/>
  <c r="B229" i="3"/>
  <c r="D232" i="2"/>
  <c r="B233" i="2"/>
  <c r="B233" i="4"/>
  <c r="B233" i="3"/>
  <c r="D236" i="2"/>
  <c r="B237" i="2"/>
  <c r="B237" i="4"/>
  <c r="B237" i="3"/>
  <c r="D240" i="2"/>
  <c r="B241" i="2"/>
  <c r="B241" i="4"/>
  <c r="B241" i="3"/>
  <c r="D244" i="2"/>
  <c r="B245" i="2"/>
  <c r="B245" i="4"/>
  <c r="B245" i="3"/>
  <c r="D248" i="2"/>
  <c r="B249" i="2"/>
  <c r="B249" i="4"/>
  <c r="B249" i="3"/>
  <c r="D252" i="2"/>
  <c r="B253" i="2"/>
  <c r="B253" i="4"/>
  <c r="B253" i="3"/>
  <c r="D256" i="2"/>
  <c r="B257" i="2"/>
  <c r="B257" i="4"/>
  <c r="B257" i="3"/>
  <c r="D260" i="2"/>
  <c r="B261" i="2"/>
  <c r="B261" i="4"/>
  <c r="B261" i="3"/>
  <c r="D264" i="2"/>
  <c r="B265" i="2"/>
  <c r="B265" i="4"/>
  <c r="B265" i="3"/>
  <c r="D268" i="2"/>
  <c r="B269" i="2"/>
  <c r="B269" i="4"/>
  <c r="B269" i="3"/>
  <c r="D272" i="2"/>
  <c r="B273" i="2"/>
  <c r="B273" i="4"/>
  <c r="B273" i="3"/>
  <c r="D276" i="2"/>
  <c r="B277" i="2"/>
  <c r="B277" i="4"/>
  <c r="B277" i="3"/>
  <c r="D280" i="2"/>
  <c r="B281" i="2"/>
  <c r="B281" i="4"/>
  <c r="B281" i="3"/>
  <c r="D284" i="2"/>
  <c r="B285" i="2"/>
  <c r="B285" i="4"/>
  <c r="B285" i="3"/>
  <c r="D288" i="2"/>
  <c r="B289" i="2"/>
  <c r="B289" i="4"/>
  <c r="B289" i="3"/>
  <c r="D292" i="2"/>
  <c r="B293" i="2"/>
  <c r="B293" i="4"/>
  <c r="B293" i="3"/>
  <c r="D296" i="2"/>
  <c r="B297" i="2"/>
  <c r="B297" i="4"/>
  <c r="B297" i="3"/>
  <c r="D300" i="2"/>
  <c r="B301" i="2"/>
  <c r="B301" i="4"/>
  <c r="B301" i="3"/>
  <c r="D304" i="2"/>
  <c r="B305" i="2"/>
  <c r="B305" i="4"/>
  <c r="B305" i="3"/>
  <c r="C8" i="2"/>
  <c r="C8" i="4"/>
  <c r="C8" i="3"/>
  <c r="S308" i="53"/>
  <c r="T308" i="53"/>
  <c r="Y308" i="53"/>
  <c r="L308" i="53"/>
  <c r="F308" i="53"/>
  <c r="H308" i="53"/>
  <c r="P308" i="53"/>
  <c r="G308" i="53"/>
  <c r="O308" i="53"/>
  <c r="I308" i="53"/>
  <c r="Q308" i="53"/>
  <c r="J308" i="53"/>
  <c r="R308" i="53"/>
  <c r="C308" i="53"/>
  <c r="K308" i="53"/>
  <c r="M308" i="53"/>
  <c r="U25" i="45" l="1"/>
  <c r="U21" i="45"/>
  <c r="G4" i="45"/>
  <c r="B37" i="45" s="1"/>
  <c r="G27" i="45"/>
  <c r="G25" i="45"/>
  <c r="N14" i="45"/>
  <c r="N6" i="45"/>
  <c r="N17" i="45"/>
  <c r="F223" i="29"/>
  <c r="G223" i="29"/>
  <c r="H223" i="29"/>
  <c r="J223" i="29"/>
  <c r="K223" i="29"/>
  <c r="E223" i="29"/>
  <c r="I223" i="29"/>
  <c r="O223" i="29"/>
  <c r="D223" i="29"/>
  <c r="G47" i="29"/>
  <c r="H47" i="29"/>
  <c r="I47" i="29"/>
  <c r="J47" i="29"/>
  <c r="D47" i="29"/>
  <c r="O47" i="29"/>
  <c r="E47" i="29"/>
  <c r="K47" i="29"/>
  <c r="F47" i="29"/>
  <c r="J214" i="29"/>
  <c r="K214" i="29"/>
  <c r="G214" i="29"/>
  <c r="I214" i="29"/>
  <c r="D214" i="29"/>
  <c r="E214" i="29"/>
  <c r="F214" i="29"/>
  <c r="H214" i="29"/>
  <c r="O214" i="29"/>
  <c r="I86" i="29"/>
  <c r="J86" i="29"/>
  <c r="K86" i="29"/>
  <c r="D86" i="29"/>
  <c r="E86" i="29"/>
  <c r="G86" i="29"/>
  <c r="F86" i="29"/>
  <c r="H86" i="29"/>
  <c r="O86" i="29"/>
  <c r="D225" i="29"/>
  <c r="F225" i="29"/>
  <c r="G225" i="29"/>
  <c r="H225" i="29"/>
  <c r="J225" i="29"/>
  <c r="K225" i="29"/>
  <c r="E225" i="29"/>
  <c r="I225" i="29"/>
  <c r="O225" i="29"/>
  <c r="J193" i="29"/>
  <c r="K193" i="29"/>
  <c r="G193" i="29"/>
  <c r="D193" i="29"/>
  <c r="E193" i="29"/>
  <c r="F193" i="29"/>
  <c r="I193" i="29"/>
  <c r="H193" i="29"/>
  <c r="O193" i="29"/>
  <c r="F49" i="29"/>
  <c r="G49" i="29"/>
  <c r="H49" i="29"/>
  <c r="I49" i="29"/>
  <c r="J49" i="29"/>
  <c r="D49" i="29"/>
  <c r="E49" i="29"/>
  <c r="K49" i="29"/>
  <c r="O49" i="29"/>
  <c r="G282" i="29"/>
  <c r="H282" i="29"/>
  <c r="I282" i="29"/>
  <c r="J282" i="29"/>
  <c r="D282" i="29"/>
  <c r="K282" i="29"/>
  <c r="E282" i="29"/>
  <c r="F282" i="29"/>
  <c r="O282" i="29"/>
  <c r="F296" i="29"/>
  <c r="G296" i="29"/>
  <c r="H296" i="29"/>
  <c r="I296" i="29"/>
  <c r="J296" i="29"/>
  <c r="K296" i="29"/>
  <c r="D296" i="29"/>
  <c r="E296" i="29"/>
  <c r="F280" i="29"/>
  <c r="G280" i="29"/>
  <c r="H280" i="29"/>
  <c r="I280" i="29"/>
  <c r="J280" i="29"/>
  <c r="D280" i="29"/>
  <c r="K280" i="29"/>
  <c r="E280" i="29"/>
  <c r="F264" i="29"/>
  <c r="G264" i="29"/>
  <c r="H264" i="29"/>
  <c r="I264" i="29"/>
  <c r="J264" i="29"/>
  <c r="K264" i="29"/>
  <c r="D264" i="29"/>
  <c r="E264" i="29"/>
  <c r="O264" i="29"/>
  <c r="D248" i="29"/>
  <c r="G248" i="29"/>
  <c r="I248" i="29"/>
  <c r="J248" i="29"/>
  <c r="K248" i="29"/>
  <c r="F248" i="29"/>
  <c r="E248" i="29"/>
  <c r="H248" i="29"/>
  <c r="O248" i="29"/>
  <c r="D232" i="29"/>
  <c r="F232" i="29"/>
  <c r="G232" i="29"/>
  <c r="H232" i="29"/>
  <c r="E232" i="29"/>
  <c r="I232" i="29"/>
  <c r="J232" i="29"/>
  <c r="K232" i="29"/>
  <c r="O232" i="29"/>
  <c r="D216" i="29"/>
  <c r="F216" i="29"/>
  <c r="G216" i="29"/>
  <c r="H216" i="29"/>
  <c r="I216" i="29"/>
  <c r="E216" i="29"/>
  <c r="J216" i="29"/>
  <c r="K216" i="29"/>
  <c r="O216" i="29"/>
  <c r="K204" i="29"/>
  <c r="G204" i="29"/>
  <c r="D204" i="29"/>
  <c r="E204" i="29"/>
  <c r="F204" i="29"/>
  <c r="H204" i="29"/>
  <c r="I204" i="29"/>
  <c r="O204" i="29"/>
  <c r="J204" i="29"/>
  <c r="J200" i="29"/>
  <c r="K200" i="29"/>
  <c r="G200" i="29"/>
  <c r="F200" i="29"/>
  <c r="I200" i="29"/>
  <c r="D200" i="29"/>
  <c r="E200" i="29"/>
  <c r="H200" i="29"/>
  <c r="O200" i="29"/>
  <c r="J184" i="29"/>
  <c r="K184" i="29"/>
  <c r="D184" i="29"/>
  <c r="G184" i="29"/>
  <c r="E184" i="29"/>
  <c r="H184" i="29"/>
  <c r="I184" i="29"/>
  <c r="F184" i="29"/>
  <c r="O184" i="29"/>
  <c r="I168" i="29"/>
  <c r="J168" i="29"/>
  <c r="K168" i="29"/>
  <c r="D168" i="29"/>
  <c r="G168" i="29"/>
  <c r="E168" i="29"/>
  <c r="F168" i="29"/>
  <c r="H168" i="29"/>
  <c r="O168" i="29"/>
  <c r="I152" i="29"/>
  <c r="J152" i="29"/>
  <c r="K152" i="29"/>
  <c r="D152" i="29"/>
  <c r="G152" i="29"/>
  <c r="E152" i="29"/>
  <c r="F152" i="29"/>
  <c r="H152" i="29"/>
  <c r="I136" i="29"/>
  <c r="J136" i="29"/>
  <c r="K136" i="29"/>
  <c r="D136" i="29"/>
  <c r="G136" i="29"/>
  <c r="E136" i="29"/>
  <c r="F136" i="29"/>
  <c r="H136" i="29"/>
  <c r="O136" i="29"/>
  <c r="I104" i="29"/>
  <c r="J104" i="29"/>
  <c r="K104" i="29"/>
  <c r="D104" i="29"/>
  <c r="E104" i="29"/>
  <c r="G104" i="29"/>
  <c r="F104" i="29"/>
  <c r="H104" i="29"/>
  <c r="O104" i="29"/>
  <c r="I88" i="29"/>
  <c r="J88" i="29"/>
  <c r="K88" i="29"/>
  <c r="D88" i="29"/>
  <c r="E88" i="29"/>
  <c r="G88" i="29"/>
  <c r="F88" i="29"/>
  <c r="H88" i="29"/>
  <c r="O88" i="29"/>
  <c r="I72" i="29"/>
  <c r="J72" i="29"/>
  <c r="K72" i="29"/>
  <c r="D72" i="29"/>
  <c r="E72" i="29"/>
  <c r="G72" i="29"/>
  <c r="F72" i="29"/>
  <c r="H72" i="29"/>
  <c r="O72" i="29"/>
  <c r="F56" i="29"/>
  <c r="D56" i="29"/>
  <c r="E56" i="29"/>
  <c r="I56" i="29"/>
  <c r="J56" i="29"/>
  <c r="K56" i="29"/>
  <c r="G56" i="29"/>
  <c r="H56" i="29"/>
  <c r="O56" i="29"/>
  <c r="F40" i="29"/>
  <c r="G40" i="29"/>
  <c r="H40" i="29"/>
  <c r="I40" i="29"/>
  <c r="J40" i="29"/>
  <c r="D40" i="29"/>
  <c r="E40" i="29"/>
  <c r="K40" i="29"/>
  <c r="O40" i="29"/>
  <c r="F24" i="29"/>
  <c r="G24" i="29"/>
  <c r="H24" i="29"/>
  <c r="I24" i="29"/>
  <c r="J24" i="29"/>
  <c r="D24" i="29"/>
  <c r="E24" i="29"/>
  <c r="K24" i="29"/>
  <c r="O24" i="29"/>
  <c r="G303" i="29"/>
  <c r="H303" i="29"/>
  <c r="I303" i="29"/>
  <c r="J303" i="29"/>
  <c r="D303" i="29"/>
  <c r="K303" i="29"/>
  <c r="E303" i="29"/>
  <c r="O303" i="29"/>
  <c r="F303" i="29"/>
  <c r="G271" i="29"/>
  <c r="H271" i="29"/>
  <c r="I271" i="29"/>
  <c r="J271" i="29"/>
  <c r="K271" i="29"/>
  <c r="D271" i="29"/>
  <c r="E271" i="29"/>
  <c r="F271" i="29"/>
  <c r="K191" i="29"/>
  <c r="G191" i="29"/>
  <c r="E191" i="29"/>
  <c r="F191" i="29"/>
  <c r="O191" i="29"/>
  <c r="H191" i="29"/>
  <c r="I191" i="29"/>
  <c r="D191" i="29"/>
  <c r="J191" i="29"/>
  <c r="J95" i="29"/>
  <c r="K95" i="29"/>
  <c r="D95" i="29"/>
  <c r="E95" i="29"/>
  <c r="G95" i="29"/>
  <c r="F95" i="29"/>
  <c r="H95" i="29"/>
  <c r="O95" i="29"/>
  <c r="I95" i="29"/>
  <c r="J198" i="29"/>
  <c r="K198" i="29"/>
  <c r="G198" i="29"/>
  <c r="I198" i="29"/>
  <c r="D198" i="29"/>
  <c r="E198" i="29"/>
  <c r="F198" i="29"/>
  <c r="H198" i="29"/>
  <c r="I118" i="29"/>
  <c r="J118" i="29"/>
  <c r="K118" i="29"/>
  <c r="D118" i="29"/>
  <c r="E118" i="29"/>
  <c r="G118" i="29"/>
  <c r="F118" i="29"/>
  <c r="H118" i="29"/>
  <c r="F54" i="29"/>
  <c r="G54" i="29"/>
  <c r="H54" i="29"/>
  <c r="I54" i="29"/>
  <c r="J54" i="29"/>
  <c r="D54" i="29"/>
  <c r="E54" i="29"/>
  <c r="K54" i="29"/>
  <c r="O54" i="29"/>
  <c r="D241" i="29"/>
  <c r="F241" i="29"/>
  <c r="G241" i="29"/>
  <c r="E241" i="29"/>
  <c r="H241" i="29"/>
  <c r="I241" i="29"/>
  <c r="K241" i="29"/>
  <c r="O241" i="29"/>
  <c r="J241" i="29"/>
  <c r="J177" i="29"/>
  <c r="K177" i="29"/>
  <c r="D177" i="29"/>
  <c r="G177" i="29"/>
  <c r="E177" i="29"/>
  <c r="F177" i="29"/>
  <c r="H177" i="29"/>
  <c r="O177" i="29"/>
  <c r="I177" i="29"/>
  <c r="I145" i="29"/>
  <c r="J145" i="29"/>
  <c r="K145" i="29"/>
  <c r="D145" i="29"/>
  <c r="G145" i="29"/>
  <c r="E145" i="29"/>
  <c r="F145" i="29"/>
  <c r="H145" i="29"/>
  <c r="G17" i="29"/>
  <c r="H17" i="29"/>
  <c r="I17" i="29"/>
  <c r="J17" i="29"/>
  <c r="D17" i="29"/>
  <c r="E17" i="29"/>
  <c r="F17" i="29"/>
  <c r="K17" i="29"/>
  <c r="O17" i="29"/>
  <c r="F307" i="29"/>
  <c r="G307" i="29"/>
  <c r="H307" i="29"/>
  <c r="I307" i="29"/>
  <c r="J307" i="29"/>
  <c r="D307" i="29"/>
  <c r="K307" i="29"/>
  <c r="E307" i="29"/>
  <c r="O307" i="29"/>
  <c r="F291" i="29"/>
  <c r="G291" i="29"/>
  <c r="H291" i="29"/>
  <c r="I291" i="29"/>
  <c r="J291" i="29"/>
  <c r="D291" i="29"/>
  <c r="K291" i="29"/>
  <c r="E291" i="29"/>
  <c r="O291" i="29"/>
  <c r="F275" i="29"/>
  <c r="G275" i="29"/>
  <c r="H275" i="29"/>
  <c r="I275" i="29"/>
  <c r="J275" i="29"/>
  <c r="K275" i="29"/>
  <c r="D275" i="29"/>
  <c r="E275" i="29"/>
  <c r="D259" i="29"/>
  <c r="E259" i="29"/>
  <c r="F259" i="29"/>
  <c r="G259" i="29"/>
  <c r="H259" i="29"/>
  <c r="J259" i="29"/>
  <c r="I259" i="29"/>
  <c r="O259" i="29"/>
  <c r="K259" i="29"/>
  <c r="D243" i="29"/>
  <c r="F243" i="29"/>
  <c r="G243" i="29"/>
  <c r="K243" i="29"/>
  <c r="E243" i="29"/>
  <c r="H243" i="29"/>
  <c r="I243" i="29"/>
  <c r="O243" i="29"/>
  <c r="J243" i="29"/>
  <c r="D227" i="29"/>
  <c r="F227" i="29"/>
  <c r="G227" i="29"/>
  <c r="H227" i="29"/>
  <c r="J227" i="29"/>
  <c r="K227" i="29"/>
  <c r="E227" i="29"/>
  <c r="O227" i="29"/>
  <c r="I227" i="29"/>
  <c r="J211" i="29"/>
  <c r="K211" i="29"/>
  <c r="G211" i="29"/>
  <c r="H211" i="29"/>
  <c r="D211" i="29"/>
  <c r="I211" i="29"/>
  <c r="E211" i="29"/>
  <c r="F211" i="29"/>
  <c r="O211" i="29"/>
  <c r="J195" i="29"/>
  <c r="K195" i="29"/>
  <c r="G195" i="29"/>
  <c r="H195" i="29"/>
  <c r="D195" i="29"/>
  <c r="E195" i="29"/>
  <c r="F195" i="29"/>
  <c r="O195" i="29"/>
  <c r="I195" i="29"/>
  <c r="J179" i="29"/>
  <c r="K179" i="29"/>
  <c r="D179" i="29"/>
  <c r="G179" i="29"/>
  <c r="E179" i="29"/>
  <c r="F179" i="29"/>
  <c r="H179" i="29"/>
  <c r="O179" i="29"/>
  <c r="I179" i="29"/>
  <c r="I163" i="29"/>
  <c r="J163" i="29"/>
  <c r="K163" i="29"/>
  <c r="D163" i="29"/>
  <c r="G163" i="29"/>
  <c r="E163" i="29"/>
  <c r="F163" i="29"/>
  <c r="O163" i="29"/>
  <c r="H163" i="29"/>
  <c r="I147" i="29"/>
  <c r="J147" i="29"/>
  <c r="K147" i="29"/>
  <c r="D147" i="29"/>
  <c r="G147" i="29"/>
  <c r="E147" i="29"/>
  <c r="F147" i="29"/>
  <c r="H147" i="29"/>
  <c r="O147" i="29"/>
  <c r="I131" i="29"/>
  <c r="J131" i="29"/>
  <c r="K131" i="29"/>
  <c r="D131" i="29"/>
  <c r="G131" i="29"/>
  <c r="E131" i="29"/>
  <c r="F131" i="29"/>
  <c r="H131" i="29"/>
  <c r="I115" i="29"/>
  <c r="J115" i="29"/>
  <c r="K115" i="29"/>
  <c r="D115" i="29"/>
  <c r="E115" i="29"/>
  <c r="G115" i="29"/>
  <c r="F115" i="29"/>
  <c r="H115" i="29"/>
  <c r="I99" i="29"/>
  <c r="J99" i="29"/>
  <c r="K99" i="29"/>
  <c r="D99" i="29"/>
  <c r="E99" i="29"/>
  <c r="G99" i="29"/>
  <c r="F99" i="29"/>
  <c r="O99" i="29"/>
  <c r="H99" i="29"/>
  <c r="I83" i="29"/>
  <c r="J83" i="29"/>
  <c r="K83" i="29"/>
  <c r="D83" i="29"/>
  <c r="E83" i="29"/>
  <c r="G83" i="29"/>
  <c r="F83" i="29"/>
  <c r="H83" i="29"/>
  <c r="O83" i="29"/>
  <c r="I67" i="29"/>
  <c r="J67" i="29"/>
  <c r="K67" i="29"/>
  <c r="D67" i="29"/>
  <c r="E67" i="29"/>
  <c r="G67" i="29"/>
  <c r="F67" i="29"/>
  <c r="H67" i="29"/>
  <c r="O67" i="29"/>
  <c r="F51" i="29"/>
  <c r="G51" i="29"/>
  <c r="H51" i="29"/>
  <c r="I51" i="29"/>
  <c r="J51" i="29"/>
  <c r="D51" i="29"/>
  <c r="E51" i="29"/>
  <c r="K51" i="29"/>
  <c r="O51" i="29"/>
  <c r="F35" i="29"/>
  <c r="G35" i="29"/>
  <c r="H35" i="29"/>
  <c r="I35" i="29"/>
  <c r="J35" i="29"/>
  <c r="D35" i="29"/>
  <c r="E35" i="29"/>
  <c r="O35" i="29"/>
  <c r="K35" i="29"/>
  <c r="F19" i="29"/>
  <c r="G19" i="29"/>
  <c r="H19" i="29"/>
  <c r="I19" i="29"/>
  <c r="J19" i="29"/>
  <c r="D19" i="29"/>
  <c r="E19" i="29"/>
  <c r="K19" i="29"/>
  <c r="O19" i="29"/>
  <c r="G298" i="29"/>
  <c r="H298" i="29"/>
  <c r="I298" i="29"/>
  <c r="J298" i="29"/>
  <c r="K298" i="29"/>
  <c r="D298" i="29"/>
  <c r="E298" i="29"/>
  <c r="F298" i="29"/>
  <c r="G266" i="29"/>
  <c r="O266" i="29"/>
  <c r="H266" i="29"/>
  <c r="I266" i="29"/>
  <c r="J266" i="29"/>
  <c r="K266" i="29"/>
  <c r="D266" i="29"/>
  <c r="E266" i="29"/>
  <c r="F266" i="29"/>
  <c r="K250" i="29"/>
  <c r="E250" i="29"/>
  <c r="F250" i="29"/>
  <c r="O250" i="29"/>
  <c r="G250" i="29"/>
  <c r="H250" i="29"/>
  <c r="I250" i="29"/>
  <c r="J250" i="29"/>
  <c r="D250" i="29"/>
  <c r="F234" i="29"/>
  <c r="G234" i="29"/>
  <c r="H234" i="29"/>
  <c r="E234" i="29"/>
  <c r="I234" i="29"/>
  <c r="O234" i="29"/>
  <c r="J234" i="29"/>
  <c r="K234" i="29"/>
  <c r="D234" i="29"/>
  <c r="F218" i="29"/>
  <c r="G218" i="29"/>
  <c r="H218" i="29"/>
  <c r="I218" i="29"/>
  <c r="J218" i="29"/>
  <c r="K218" i="29"/>
  <c r="E218" i="29"/>
  <c r="O218" i="29"/>
  <c r="D218" i="29"/>
  <c r="K202" i="29"/>
  <c r="O202" i="29"/>
  <c r="G202" i="29"/>
  <c r="D202" i="29"/>
  <c r="F202" i="29"/>
  <c r="H202" i="29"/>
  <c r="I202" i="29"/>
  <c r="E202" i="29"/>
  <c r="J202" i="29"/>
  <c r="K190" i="29"/>
  <c r="G190" i="29"/>
  <c r="I190" i="29"/>
  <c r="O190" i="29"/>
  <c r="D190" i="29"/>
  <c r="E190" i="29"/>
  <c r="H190" i="29"/>
  <c r="F190" i="29"/>
  <c r="J190" i="29"/>
  <c r="K186" i="29"/>
  <c r="G186" i="29"/>
  <c r="D186" i="29"/>
  <c r="F186" i="29"/>
  <c r="H186" i="29"/>
  <c r="I186" i="29"/>
  <c r="E186" i="29"/>
  <c r="J186" i="29"/>
  <c r="K170" i="29"/>
  <c r="D170" i="29"/>
  <c r="G170" i="29"/>
  <c r="E170" i="29"/>
  <c r="O170" i="29"/>
  <c r="H170" i="29"/>
  <c r="I170" i="29"/>
  <c r="F170" i="29"/>
  <c r="J170" i="29"/>
  <c r="J154" i="29"/>
  <c r="K154" i="29"/>
  <c r="D154" i="29"/>
  <c r="G154" i="29"/>
  <c r="E154" i="29"/>
  <c r="H154" i="29"/>
  <c r="O154" i="29"/>
  <c r="F154" i="29"/>
  <c r="I154" i="29"/>
  <c r="J138" i="29"/>
  <c r="K138" i="29"/>
  <c r="D138" i="29"/>
  <c r="G138" i="29"/>
  <c r="E138" i="29"/>
  <c r="H138" i="29"/>
  <c r="F138" i="29"/>
  <c r="O138" i="29"/>
  <c r="I138" i="29"/>
  <c r="J122" i="29"/>
  <c r="K122" i="29"/>
  <c r="D122" i="29"/>
  <c r="G122" i="29"/>
  <c r="E122" i="29"/>
  <c r="H122" i="29"/>
  <c r="F122" i="29"/>
  <c r="I122" i="29"/>
  <c r="J106" i="29"/>
  <c r="O106" i="29"/>
  <c r="K106" i="29"/>
  <c r="D106" i="29"/>
  <c r="E106" i="29"/>
  <c r="G106" i="29"/>
  <c r="F106" i="29"/>
  <c r="H106" i="29"/>
  <c r="I106" i="29"/>
  <c r="J90" i="29"/>
  <c r="K90" i="29"/>
  <c r="D90" i="29"/>
  <c r="O90" i="29"/>
  <c r="E90" i="29"/>
  <c r="G90" i="29"/>
  <c r="F90" i="29"/>
  <c r="H90" i="29"/>
  <c r="I90" i="29"/>
  <c r="J74" i="29"/>
  <c r="K74" i="29"/>
  <c r="D74" i="29"/>
  <c r="E74" i="29"/>
  <c r="G74" i="29"/>
  <c r="O74" i="29"/>
  <c r="F74" i="29"/>
  <c r="H74" i="29"/>
  <c r="I74" i="29"/>
  <c r="J58" i="29"/>
  <c r="K58" i="29"/>
  <c r="D58" i="29"/>
  <c r="E58" i="29"/>
  <c r="G58" i="29"/>
  <c r="F58" i="29"/>
  <c r="H58" i="29"/>
  <c r="O58" i="29"/>
  <c r="I58" i="29"/>
  <c r="G42" i="29"/>
  <c r="O42" i="29"/>
  <c r="H42" i="29"/>
  <c r="I42" i="29"/>
  <c r="J42" i="29"/>
  <c r="D42" i="29"/>
  <c r="E42" i="29"/>
  <c r="K42" i="29"/>
  <c r="F42" i="29"/>
  <c r="G26" i="29"/>
  <c r="H26" i="29"/>
  <c r="I26" i="29"/>
  <c r="O26" i="29"/>
  <c r="J26" i="29"/>
  <c r="D26" i="29"/>
  <c r="E26" i="29"/>
  <c r="K26" i="29"/>
  <c r="F26" i="29"/>
  <c r="G10" i="29"/>
  <c r="H10" i="29"/>
  <c r="I10" i="29"/>
  <c r="J10" i="29"/>
  <c r="D10" i="29"/>
  <c r="O10" i="29"/>
  <c r="E10" i="29"/>
  <c r="K10" i="29"/>
  <c r="F10" i="29"/>
  <c r="P308" i="21"/>
  <c r="F293" i="29"/>
  <c r="G293" i="29"/>
  <c r="H293" i="29"/>
  <c r="I293" i="29"/>
  <c r="J293" i="29"/>
  <c r="D293" i="29"/>
  <c r="K293" i="29"/>
  <c r="O293" i="29"/>
  <c r="E293" i="29"/>
  <c r="F277" i="29"/>
  <c r="G277" i="29"/>
  <c r="H277" i="29"/>
  <c r="I277" i="29"/>
  <c r="J277" i="29"/>
  <c r="K277" i="29"/>
  <c r="D277" i="29"/>
  <c r="E277" i="29"/>
  <c r="D261" i="29"/>
  <c r="F261" i="29"/>
  <c r="G261" i="29"/>
  <c r="H261" i="29"/>
  <c r="I261" i="29"/>
  <c r="J261" i="29"/>
  <c r="K261" i="29"/>
  <c r="E261" i="29"/>
  <c r="O261" i="29"/>
  <c r="D245" i="29"/>
  <c r="F245" i="29"/>
  <c r="G245" i="29"/>
  <c r="I245" i="29"/>
  <c r="J245" i="29"/>
  <c r="K245" i="29"/>
  <c r="E245" i="29"/>
  <c r="H245" i="29"/>
  <c r="O245" i="29"/>
  <c r="D229" i="29"/>
  <c r="F229" i="29"/>
  <c r="G229" i="29"/>
  <c r="H229" i="29"/>
  <c r="J229" i="29"/>
  <c r="K229" i="29"/>
  <c r="E229" i="29"/>
  <c r="I229" i="29"/>
  <c r="O229" i="29"/>
  <c r="J213" i="29"/>
  <c r="K213" i="29"/>
  <c r="G213" i="29"/>
  <c r="E213" i="29"/>
  <c r="H213" i="29"/>
  <c r="I213" i="29"/>
  <c r="D213" i="29"/>
  <c r="F213" i="29"/>
  <c r="O213" i="29"/>
  <c r="J197" i="29"/>
  <c r="K197" i="29"/>
  <c r="G197" i="29"/>
  <c r="E197" i="29"/>
  <c r="H197" i="29"/>
  <c r="I197" i="29"/>
  <c r="D197" i="29"/>
  <c r="F197" i="29"/>
  <c r="J181" i="29"/>
  <c r="K181" i="29"/>
  <c r="D181" i="29"/>
  <c r="G181" i="29"/>
  <c r="E181" i="29"/>
  <c r="F181" i="29"/>
  <c r="H181" i="29"/>
  <c r="I181" i="29"/>
  <c r="O181" i="29"/>
  <c r="I165" i="29"/>
  <c r="J165" i="29"/>
  <c r="K165" i="29"/>
  <c r="D165" i="29"/>
  <c r="G165" i="29"/>
  <c r="F165" i="29"/>
  <c r="H165" i="29"/>
  <c r="O165" i="29"/>
  <c r="E165" i="29"/>
  <c r="I149" i="29"/>
  <c r="J149" i="29"/>
  <c r="K149" i="29"/>
  <c r="D149" i="29"/>
  <c r="G149" i="29"/>
  <c r="F149" i="29"/>
  <c r="H149" i="29"/>
  <c r="E149" i="29"/>
  <c r="I133" i="29"/>
  <c r="J133" i="29"/>
  <c r="K133" i="29"/>
  <c r="D133" i="29"/>
  <c r="G133" i="29"/>
  <c r="F133" i="29"/>
  <c r="H133" i="29"/>
  <c r="E133" i="29"/>
  <c r="O133" i="29"/>
  <c r="I117" i="29"/>
  <c r="J117" i="29"/>
  <c r="K117" i="29"/>
  <c r="D117" i="29"/>
  <c r="E117" i="29"/>
  <c r="G117" i="29"/>
  <c r="F117" i="29"/>
  <c r="H117" i="29"/>
  <c r="I101" i="29"/>
  <c r="J101" i="29"/>
  <c r="K101" i="29"/>
  <c r="D101" i="29"/>
  <c r="E101" i="29"/>
  <c r="G101" i="29"/>
  <c r="F101" i="29"/>
  <c r="H101" i="29"/>
  <c r="O101" i="29"/>
  <c r="I85" i="29"/>
  <c r="J85" i="29"/>
  <c r="K85" i="29"/>
  <c r="D85" i="29"/>
  <c r="E85" i="29"/>
  <c r="G85" i="29"/>
  <c r="F85" i="29"/>
  <c r="H85" i="29"/>
  <c r="O85" i="29"/>
  <c r="J73" i="29"/>
  <c r="K73" i="29"/>
  <c r="D73" i="29"/>
  <c r="E73" i="29"/>
  <c r="G73" i="29"/>
  <c r="O73" i="29"/>
  <c r="F73" i="29"/>
  <c r="H73" i="29"/>
  <c r="I73" i="29"/>
  <c r="I69" i="29"/>
  <c r="J69" i="29"/>
  <c r="K69" i="29"/>
  <c r="D69" i="29"/>
  <c r="E69" i="29"/>
  <c r="G69" i="29"/>
  <c r="F69" i="29"/>
  <c r="H69" i="29"/>
  <c r="O69" i="29"/>
  <c r="I57" i="29"/>
  <c r="J57" i="29"/>
  <c r="K57" i="29"/>
  <c r="D57" i="29"/>
  <c r="E57" i="29"/>
  <c r="G57" i="29"/>
  <c r="F57" i="29"/>
  <c r="H57" i="29"/>
  <c r="O57" i="29"/>
  <c r="F53" i="29"/>
  <c r="G53" i="29"/>
  <c r="H53" i="29"/>
  <c r="I53" i="29"/>
  <c r="J53" i="29"/>
  <c r="D53" i="29"/>
  <c r="E53" i="29"/>
  <c r="K53" i="29"/>
  <c r="O53" i="29"/>
  <c r="F37" i="29"/>
  <c r="G37" i="29"/>
  <c r="H37" i="29"/>
  <c r="I37" i="29"/>
  <c r="J37" i="29"/>
  <c r="D37" i="29"/>
  <c r="E37" i="29"/>
  <c r="O37" i="29"/>
  <c r="K37" i="29"/>
  <c r="F25" i="29"/>
  <c r="G25" i="29"/>
  <c r="H25" i="29"/>
  <c r="I25" i="29"/>
  <c r="J25" i="29"/>
  <c r="D25" i="29"/>
  <c r="E25" i="29"/>
  <c r="K25" i="29"/>
  <c r="O25" i="29"/>
  <c r="F21" i="29"/>
  <c r="G21" i="29"/>
  <c r="H21" i="29"/>
  <c r="I21" i="29"/>
  <c r="J21" i="29"/>
  <c r="D21" i="29"/>
  <c r="E21" i="29"/>
  <c r="K21" i="29"/>
  <c r="O21" i="29"/>
  <c r="F9" i="29"/>
  <c r="G9" i="29"/>
  <c r="H9" i="29"/>
  <c r="I9" i="29"/>
  <c r="J9" i="29"/>
  <c r="D9" i="29"/>
  <c r="E9" i="29"/>
  <c r="K9" i="29"/>
  <c r="J140" i="29"/>
  <c r="K140" i="29"/>
  <c r="D140" i="29"/>
  <c r="G140" i="29"/>
  <c r="H140" i="29"/>
  <c r="E140" i="29"/>
  <c r="F140" i="29"/>
  <c r="O140" i="29"/>
  <c r="I140" i="29"/>
  <c r="K175" i="29"/>
  <c r="D175" i="29"/>
  <c r="G175" i="29"/>
  <c r="E175" i="29"/>
  <c r="F175" i="29"/>
  <c r="I175" i="29"/>
  <c r="O175" i="29"/>
  <c r="H175" i="29"/>
  <c r="J175" i="29"/>
  <c r="F273" i="29"/>
  <c r="G273" i="29"/>
  <c r="H273" i="29"/>
  <c r="I273" i="29"/>
  <c r="J273" i="29"/>
  <c r="K273" i="29"/>
  <c r="D273" i="29"/>
  <c r="E273" i="29"/>
  <c r="D254" i="29"/>
  <c r="G254" i="29"/>
  <c r="H254" i="29"/>
  <c r="I254" i="29"/>
  <c r="J254" i="29"/>
  <c r="K254" i="29"/>
  <c r="E254" i="29"/>
  <c r="F254" i="29"/>
  <c r="O254" i="29"/>
  <c r="J137" i="29"/>
  <c r="K137" i="29"/>
  <c r="D137" i="29"/>
  <c r="G137" i="29"/>
  <c r="E137" i="29"/>
  <c r="F137" i="29"/>
  <c r="I137" i="29"/>
  <c r="H137" i="29"/>
  <c r="O137" i="29"/>
  <c r="G300" i="29"/>
  <c r="H300" i="29"/>
  <c r="I300" i="29"/>
  <c r="J300" i="29"/>
  <c r="K300" i="29"/>
  <c r="D300" i="29"/>
  <c r="E300" i="29"/>
  <c r="F300" i="29"/>
  <c r="G284" i="29"/>
  <c r="H284" i="29"/>
  <c r="I284" i="29"/>
  <c r="J284" i="29"/>
  <c r="D284" i="29"/>
  <c r="K284" i="29"/>
  <c r="E284" i="29"/>
  <c r="F284" i="29"/>
  <c r="G268" i="29"/>
  <c r="H268" i="29"/>
  <c r="I268" i="29"/>
  <c r="J268" i="29"/>
  <c r="K268" i="29"/>
  <c r="D268" i="29"/>
  <c r="E268" i="29"/>
  <c r="O268" i="29"/>
  <c r="F268" i="29"/>
  <c r="E252" i="29"/>
  <c r="F252" i="29"/>
  <c r="G252" i="29"/>
  <c r="H252" i="29"/>
  <c r="I252" i="29"/>
  <c r="J252" i="29"/>
  <c r="K252" i="29"/>
  <c r="D252" i="29"/>
  <c r="O252" i="29"/>
  <c r="F236" i="29"/>
  <c r="G236" i="29"/>
  <c r="H236" i="29"/>
  <c r="E236" i="29"/>
  <c r="I236" i="29"/>
  <c r="J236" i="29"/>
  <c r="K236" i="29"/>
  <c r="D236" i="29"/>
  <c r="O236" i="29"/>
  <c r="F220" i="29"/>
  <c r="G220" i="29"/>
  <c r="H220" i="29"/>
  <c r="I220" i="29"/>
  <c r="E220" i="29"/>
  <c r="J220" i="29"/>
  <c r="K220" i="29"/>
  <c r="O220" i="29"/>
  <c r="D220" i="29"/>
  <c r="K188" i="29"/>
  <c r="G188" i="29"/>
  <c r="D188" i="29"/>
  <c r="E188" i="29"/>
  <c r="F188" i="29"/>
  <c r="H188" i="29"/>
  <c r="I188" i="29"/>
  <c r="J188" i="29"/>
  <c r="O188" i="29"/>
  <c r="K172" i="29"/>
  <c r="D172" i="29"/>
  <c r="G172" i="29"/>
  <c r="E172" i="29"/>
  <c r="H172" i="29"/>
  <c r="I172" i="29"/>
  <c r="F172" i="29"/>
  <c r="J172" i="29"/>
  <c r="O172" i="29"/>
  <c r="J156" i="29"/>
  <c r="K156" i="29"/>
  <c r="D156" i="29"/>
  <c r="G156" i="29"/>
  <c r="H156" i="29"/>
  <c r="F156" i="29"/>
  <c r="E156" i="29"/>
  <c r="O156" i="29"/>
  <c r="I156" i="29"/>
  <c r="I128" i="29"/>
  <c r="J128" i="29"/>
  <c r="K128" i="29"/>
  <c r="D128" i="29"/>
  <c r="G128" i="29"/>
  <c r="E128" i="29"/>
  <c r="F128" i="29"/>
  <c r="H128" i="29"/>
  <c r="O128" i="29"/>
  <c r="J124" i="29"/>
  <c r="K124" i="29"/>
  <c r="D124" i="29"/>
  <c r="G124" i="29"/>
  <c r="H124" i="29"/>
  <c r="E124" i="29"/>
  <c r="F124" i="29"/>
  <c r="I124" i="29"/>
  <c r="J108" i="29"/>
  <c r="K108" i="29"/>
  <c r="D108" i="29"/>
  <c r="E108" i="29"/>
  <c r="G108" i="29"/>
  <c r="F108" i="29"/>
  <c r="H108" i="29"/>
  <c r="I108" i="29"/>
  <c r="J92" i="29"/>
  <c r="K92" i="29"/>
  <c r="D92" i="29"/>
  <c r="E92" i="29"/>
  <c r="G92" i="29"/>
  <c r="F92" i="29"/>
  <c r="H92" i="29"/>
  <c r="O92" i="29"/>
  <c r="I92" i="29"/>
  <c r="J76" i="29"/>
  <c r="K76" i="29"/>
  <c r="D76" i="29"/>
  <c r="E76" i="29"/>
  <c r="G76" i="29"/>
  <c r="F76" i="29"/>
  <c r="H76" i="29"/>
  <c r="O76" i="29"/>
  <c r="I76" i="29"/>
  <c r="J60" i="29"/>
  <c r="K60" i="29"/>
  <c r="D60" i="29"/>
  <c r="E60" i="29"/>
  <c r="G60" i="29"/>
  <c r="F60" i="29"/>
  <c r="H60" i="29"/>
  <c r="I60" i="29"/>
  <c r="O60" i="29"/>
  <c r="G44" i="29"/>
  <c r="H44" i="29"/>
  <c r="I44" i="29"/>
  <c r="J44" i="29"/>
  <c r="D44" i="29"/>
  <c r="E44" i="29"/>
  <c r="K44" i="29"/>
  <c r="F44" i="29"/>
  <c r="O44" i="29"/>
  <c r="G28" i="29"/>
  <c r="H28" i="29"/>
  <c r="I28" i="29"/>
  <c r="J28" i="29"/>
  <c r="D28" i="29"/>
  <c r="E28" i="29"/>
  <c r="K28" i="29"/>
  <c r="O28" i="29"/>
  <c r="F28" i="29"/>
  <c r="G12" i="29"/>
  <c r="H12" i="29"/>
  <c r="I12" i="29"/>
  <c r="J12" i="29"/>
  <c r="D12" i="29"/>
  <c r="E12" i="29"/>
  <c r="K12" i="29"/>
  <c r="O12" i="29"/>
  <c r="F12" i="29"/>
  <c r="G287" i="29"/>
  <c r="O287" i="29"/>
  <c r="H287" i="29"/>
  <c r="I287" i="29"/>
  <c r="J287" i="29"/>
  <c r="K287" i="29"/>
  <c r="D287" i="29"/>
  <c r="E287" i="29"/>
  <c r="F287" i="29"/>
  <c r="H255" i="29"/>
  <c r="I255" i="29"/>
  <c r="J255" i="29"/>
  <c r="K255" i="29"/>
  <c r="O255" i="29"/>
  <c r="E255" i="29"/>
  <c r="F255" i="29"/>
  <c r="G255" i="29"/>
  <c r="D255" i="29"/>
  <c r="K207" i="29"/>
  <c r="G207" i="29"/>
  <c r="O207" i="29"/>
  <c r="E207" i="29"/>
  <c r="F207" i="29"/>
  <c r="H207" i="29"/>
  <c r="I207" i="29"/>
  <c r="D207" i="29"/>
  <c r="J207" i="29"/>
  <c r="J159" i="29"/>
  <c r="K159" i="29"/>
  <c r="D159" i="29"/>
  <c r="G159" i="29"/>
  <c r="F159" i="29"/>
  <c r="E159" i="29"/>
  <c r="H159" i="29"/>
  <c r="O159" i="29"/>
  <c r="I159" i="29"/>
  <c r="G15" i="29"/>
  <c r="O15" i="29"/>
  <c r="H15" i="29"/>
  <c r="I15" i="29"/>
  <c r="J15" i="29"/>
  <c r="D15" i="29"/>
  <c r="E15" i="29"/>
  <c r="K15" i="29"/>
  <c r="F15" i="29"/>
  <c r="F262" i="29"/>
  <c r="G262" i="29"/>
  <c r="H262" i="29"/>
  <c r="I262" i="29"/>
  <c r="J262" i="29"/>
  <c r="D262" i="29"/>
  <c r="K262" i="29"/>
  <c r="O262" i="29"/>
  <c r="E262" i="29"/>
  <c r="I150" i="29"/>
  <c r="J150" i="29"/>
  <c r="K150" i="29"/>
  <c r="D150" i="29"/>
  <c r="G150" i="29"/>
  <c r="E150" i="29"/>
  <c r="F150" i="29"/>
  <c r="H150" i="29"/>
  <c r="G38" i="29"/>
  <c r="H38" i="29"/>
  <c r="I38" i="29"/>
  <c r="O38" i="29"/>
  <c r="J38" i="29"/>
  <c r="D38" i="29"/>
  <c r="E38" i="29"/>
  <c r="K38" i="29"/>
  <c r="F38" i="29"/>
  <c r="F289" i="29"/>
  <c r="G289" i="29"/>
  <c r="H289" i="29"/>
  <c r="I289" i="29"/>
  <c r="J289" i="29"/>
  <c r="K289" i="29"/>
  <c r="D289" i="29"/>
  <c r="E289" i="29"/>
  <c r="J113" i="29"/>
  <c r="K113" i="29"/>
  <c r="D113" i="29"/>
  <c r="E113" i="29"/>
  <c r="G113" i="29"/>
  <c r="F113" i="29"/>
  <c r="I113" i="29"/>
  <c r="H113" i="29"/>
  <c r="F33" i="29"/>
  <c r="G33" i="29"/>
  <c r="H33" i="29"/>
  <c r="I33" i="29"/>
  <c r="J33" i="29"/>
  <c r="D33" i="29"/>
  <c r="E33" i="29"/>
  <c r="K33" i="29"/>
  <c r="O33" i="29"/>
  <c r="G295" i="29"/>
  <c r="H295" i="29"/>
  <c r="I295" i="29"/>
  <c r="J295" i="29"/>
  <c r="D295" i="29"/>
  <c r="K295" i="29"/>
  <c r="E295" i="29"/>
  <c r="O295" i="29"/>
  <c r="F295" i="29"/>
  <c r="G279" i="29"/>
  <c r="H279" i="29"/>
  <c r="O279" i="29"/>
  <c r="I279" i="29"/>
  <c r="J279" i="29"/>
  <c r="K279" i="29"/>
  <c r="D279" i="29"/>
  <c r="E279" i="29"/>
  <c r="F279" i="29"/>
  <c r="G263" i="29"/>
  <c r="H263" i="29"/>
  <c r="I263" i="29"/>
  <c r="O263" i="29"/>
  <c r="J263" i="29"/>
  <c r="K263" i="29"/>
  <c r="D263" i="29"/>
  <c r="E263" i="29"/>
  <c r="F263" i="29"/>
  <c r="F247" i="29"/>
  <c r="G247" i="29"/>
  <c r="E247" i="29"/>
  <c r="H247" i="29"/>
  <c r="I247" i="29"/>
  <c r="O247" i="29"/>
  <c r="J247" i="29"/>
  <c r="K247" i="29"/>
  <c r="D247" i="29"/>
  <c r="F231" i="29"/>
  <c r="G231" i="29"/>
  <c r="H231" i="29"/>
  <c r="J231" i="29"/>
  <c r="K231" i="29"/>
  <c r="E231" i="29"/>
  <c r="I231" i="29"/>
  <c r="O231" i="29"/>
  <c r="D231" i="29"/>
  <c r="E215" i="29"/>
  <c r="O215" i="29"/>
  <c r="F215" i="29"/>
  <c r="H215" i="29"/>
  <c r="I215" i="29"/>
  <c r="K215" i="29"/>
  <c r="D215" i="29"/>
  <c r="J215" i="29"/>
  <c r="G215" i="29"/>
  <c r="K199" i="29"/>
  <c r="G199" i="29"/>
  <c r="E199" i="29"/>
  <c r="O199" i="29"/>
  <c r="F199" i="29"/>
  <c r="H199" i="29"/>
  <c r="I199" i="29"/>
  <c r="D199" i="29"/>
  <c r="J199" i="29"/>
  <c r="K183" i="29"/>
  <c r="D183" i="29"/>
  <c r="G183" i="29"/>
  <c r="E183" i="29"/>
  <c r="F183" i="29"/>
  <c r="O183" i="29"/>
  <c r="H183" i="29"/>
  <c r="I183" i="29"/>
  <c r="J183" i="29"/>
  <c r="J167" i="29"/>
  <c r="K167" i="29"/>
  <c r="D167" i="29"/>
  <c r="G167" i="29"/>
  <c r="F167" i="29"/>
  <c r="E167" i="29"/>
  <c r="H167" i="29"/>
  <c r="O167" i="29"/>
  <c r="I167" i="29"/>
  <c r="J151" i="29"/>
  <c r="O151" i="29"/>
  <c r="K151" i="29"/>
  <c r="D151" i="29"/>
  <c r="G151" i="29"/>
  <c r="F151" i="29"/>
  <c r="E151" i="29"/>
  <c r="H151" i="29"/>
  <c r="I151" i="29"/>
  <c r="J135" i="29"/>
  <c r="K135" i="29"/>
  <c r="D135" i="29"/>
  <c r="O135" i="29"/>
  <c r="G135" i="29"/>
  <c r="F135" i="29"/>
  <c r="E135" i="29"/>
  <c r="H135" i="29"/>
  <c r="I135" i="29"/>
  <c r="J119" i="29"/>
  <c r="K119" i="29"/>
  <c r="D119" i="29"/>
  <c r="E119" i="29"/>
  <c r="O119" i="29"/>
  <c r="G119" i="29"/>
  <c r="F119" i="29"/>
  <c r="H119" i="29"/>
  <c r="I119" i="29"/>
  <c r="J103" i="29"/>
  <c r="K103" i="29"/>
  <c r="D103" i="29"/>
  <c r="E103" i="29"/>
  <c r="G103" i="29"/>
  <c r="F103" i="29"/>
  <c r="O103" i="29"/>
  <c r="H103" i="29"/>
  <c r="I103" i="29"/>
  <c r="J87" i="29"/>
  <c r="K87" i="29"/>
  <c r="D87" i="29"/>
  <c r="E87" i="29"/>
  <c r="G87" i="29"/>
  <c r="F87" i="29"/>
  <c r="H87" i="29"/>
  <c r="I87" i="29"/>
  <c r="O87" i="29"/>
  <c r="J71" i="29"/>
  <c r="K71" i="29"/>
  <c r="O71" i="29"/>
  <c r="D71" i="29"/>
  <c r="E71" i="29"/>
  <c r="G71" i="29"/>
  <c r="F71" i="29"/>
  <c r="H71" i="29"/>
  <c r="I71" i="29"/>
  <c r="G55" i="29"/>
  <c r="H55" i="29"/>
  <c r="I55" i="29"/>
  <c r="J55" i="29"/>
  <c r="O55" i="29"/>
  <c r="D55" i="29"/>
  <c r="E55" i="29"/>
  <c r="K55" i="29"/>
  <c r="F55" i="29"/>
  <c r="G39" i="29"/>
  <c r="H39" i="29"/>
  <c r="I39" i="29"/>
  <c r="J39" i="29"/>
  <c r="D39" i="29"/>
  <c r="E39" i="29"/>
  <c r="O39" i="29"/>
  <c r="K39" i="29"/>
  <c r="F39" i="29"/>
  <c r="G23" i="29"/>
  <c r="H23" i="29"/>
  <c r="I23" i="29"/>
  <c r="J23" i="29"/>
  <c r="D23" i="29"/>
  <c r="E23" i="29"/>
  <c r="K23" i="29"/>
  <c r="F23" i="29"/>
  <c r="O23" i="29"/>
  <c r="F302" i="29"/>
  <c r="G302" i="29"/>
  <c r="H302" i="29"/>
  <c r="I302" i="29"/>
  <c r="J302" i="29"/>
  <c r="K302" i="29"/>
  <c r="D302" i="29"/>
  <c r="O302" i="29"/>
  <c r="E302" i="29"/>
  <c r="F286" i="29"/>
  <c r="G286" i="29"/>
  <c r="H286" i="29"/>
  <c r="I286" i="29"/>
  <c r="J286" i="29"/>
  <c r="D286" i="29"/>
  <c r="K286" i="29"/>
  <c r="E286" i="29"/>
  <c r="O286" i="29"/>
  <c r="F270" i="29"/>
  <c r="G270" i="29"/>
  <c r="H270" i="29"/>
  <c r="I270" i="29"/>
  <c r="J270" i="29"/>
  <c r="D270" i="29"/>
  <c r="K270" i="29"/>
  <c r="E270" i="29"/>
  <c r="D238" i="29"/>
  <c r="F238" i="29"/>
  <c r="G238" i="29"/>
  <c r="E238" i="29"/>
  <c r="H238" i="29"/>
  <c r="J238" i="29"/>
  <c r="I238" i="29"/>
  <c r="K238" i="29"/>
  <c r="O238" i="29"/>
  <c r="F222" i="29"/>
  <c r="G222" i="29"/>
  <c r="H222" i="29"/>
  <c r="I222" i="29"/>
  <c r="E222" i="29"/>
  <c r="J222" i="29"/>
  <c r="D222" i="29"/>
  <c r="O222" i="29"/>
  <c r="K222" i="29"/>
  <c r="K206" i="29"/>
  <c r="G206" i="29"/>
  <c r="O206" i="29"/>
  <c r="I206" i="29"/>
  <c r="D206" i="29"/>
  <c r="E206" i="29"/>
  <c r="H206" i="29"/>
  <c r="F206" i="29"/>
  <c r="J206" i="29"/>
  <c r="K174" i="29"/>
  <c r="D174" i="29"/>
  <c r="G174" i="29"/>
  <c r="E174" i="29"/>
  <c r="O174" i="29"/>
  <c r="H174" i="29"/>
  <c r="I174" i="29"/>
  <c r="F174" i="29"/>
  <c r="J174" i="29"/>
  <c r="I158" i="29"/>
  <c r="J158" i="29"/>
  <c r="K158" i="29"/>
  <c r="D158" i="29"/>
  <c r="G158" i="29"/>
  <c r="E158" i="29"/>
  <c r="F158" i="29"/>
  <c r="H158" i="29"/>
  <c r="O158" i="29"/>
  <c r="J142" i="29"/>
  <c r="K142" i="29"/>
  <c r="D142" i="29"/>
  <c r="G142" i="29"/>
  <c r="E142" i="29"/>
  <c r="F142" i="29"/>
  <c r="O142" i="29"/>
  <c r="H142" i="29"/>
  <c r="I142" i="29"/>
  <c r="I126" i="29"/>
  <c r="J126" i="29"/>
  <c r="K126" i="29"/>
  <c r="D126" i="29"/>
  <c r="G126" i="29"/>
  <c r="E126" i="29"/>
  <c r="F126" i="29"/>
  <c r="H126" i="29"/>
  <c r="I110" i="29"/>
  <c r="J110" i="29"/>
  <c r="K110" i="29"/>
  <c r="D110" i="29"/>
  <c r="E110" i="29"/>
  <c r="G110" i="29"/>
  <c r="F110" i="29"/>
  <c r="H110" i="29"/>
  <c r="I94" i="29"/>
  <c r="J94" i="29"/>
  <c r="K94" i="29"/>
  <c r="D94" i="29"/>
  <c r="E94" i="29"/>
  <c r="G94" i="29"/>
  <c r="F94" i="29"/>
  <c r="H94" i="29"/>
  <c r="O94" i="29"/>
  <c r="J78" i="29"/>
  <c r="K78" i="29"/>
  <c r="D78" i="29"/>
  <c r="E78" i="29"/>
  <c r="G78" i="29"/>
  <c r="F78" i="29"/>
  <c r="H78" i="29"/>
  <c r="I78" i="29"/>
  <c r="O78" i="29"/>
  <c r="J62" i="29"/>
  <c r="K62" i="29"/>
  <c r="D62" i="29"/>
  <c r="E62" i="29"/>
  <c r="G62" i="29"/>
  <c r="F62" i="29"/>
  <c r="H62" i="29"/>
  <c r="I62" i="29"/>
  <c r="O62" i="29"/>
  <c r="G46" i="29"/>
  <c r="H46" i="29"/>
  <c r="O46" i="29"/>
  <c r="I46" i="29"/>
  <c r="J46" i="29"/>
  <c r="D46" i="29"/>
  <c r="E46" i="29"/>
  <c r="K46" i="29"/>
  <c r="F46" i="29"/>
  <c r="F30" i="29"/>
  <c r="G30" i="29"/>
  <c r="H30" i="29"/>
  <c r="I30" i="29"/>
  <c r="J30" i="29"/>
  <c r="D30" i="29"/>
  <c r="E30" i="29"/>
  <c r="K30" i="29"/>
  <c r="O30" i="29"/>
  <c r="F14" i="29"/>
  <c r="G14" i="29"/>
  <c r="H14" i="29"/>
  <c r="I14" i="29"/>
  <c r="J14" i="29"/>
  <c r="D14" i="29"/>
  <c r="E14" i="29"/>
  <c r="O14" i="29"/>
  <c r="K14" i="29"/>
  <c r="F297" i="29"/>
  <c r="G297" i="29"/>
  <c r="H297" i="29"/>
  <c r="I297" i="29"/>
  <c r="J297" i="29"/>
  <c r="D297" i="29"/>
  <c r="K297" i="29"/>
  <c r="E297" i="29"/>
  <c r="O297" i="29"/>
  <c r="F281" i="29"/>
  <c r="G281" i="29"/>
  <c r="H281" i="29"/>
  <c r="I281" i="29"/>
  <c r="J281" i="29"/>
  <c r="K281" i="29"/>
  <c r="D281" i="29"/>
  <c r="O281" i="29"/>
  <c r="E281" i="29"/>
  <c r="F265" i="29"/>
  <c r="G265" i="29"/>
  <c r="H265" i="29"/>
  <c r="I265" i="29"/>
  <c r="J265" i="29"/>
  <c r="D265" i="29"/>
  <c r="K265" i="29"/>
  <c r="E265" i="29"/>
  <c r="O265" i="29"/>
  <c r="J249" i="29"/>
  <c r="K249" i="29"/>
  <c r="E249" i="29"/>
  <c r="F249" i="29"/>
  <c r="G249" i="29"/>
  <c r="H249" i="29"/>
  <c r="O249" i="29"/>
  <c r="D249" i="29"/>
  <c r="I249" i="29"/>
  <c r="F233" i="29"/>
  <c r="G233" i="29"/>
  <c r="H233" i="29"/>
  <c r="J233" i="29"/>
  <c r="K233" i="29"/>
  <c r="E233" i="29"/>
  <c r="O233" i="29"/>
  <c r="D233" i="29"/>
  <c r="I233" i="29"/>
  <c r="D217" i="29"/>
  <c r="F217" i="29"/>
  <c r="G217" i="29"/>
  <c r="H217" i="29"/>
  <c r="I217" i="29"/>
  <c r="E217" i="29"/>
  <c r="K217" i="29"/>
  <c r="O217" i="29"/>
  <c r="J217" i="29"/>
  <c r="J201" i="29"/>
  <c r="K201" i="29"/>
  <c r="G201" i="29"/>
  <c r="D201" i="29"/>
  <c r="E201" i="29"/>
  <c r="F201" i="29"/>
  <c r="H201" i="29"/>
  <c r="I201" i="29"/>
  <c r="O201" i="29"/>
  <c r="J185" i="29"/>
  <c r="K185" i="29"/>
  <c r="D185" i="29"/>
  <c r="G185" i="29"/>
  <c r="E185" i="29"/>
  <c r="F185" i="29"/>
  <c r="I185" i="29"/>
  <c r="O185" i="29"/>
  <c r="H185" i="29"/>
  <c r="J169" i="29"/>
  <c r="K169" i="29"/>
  <c r="D169" i="29"/>
  <c r="O169" i="29"/>
  <c r="G169" i="29"/>
  <c r="E169" i="29"/>
  <c r="F169" i="29"/>
  <c r="H169" i="29"/>
  <c r="I169" i="29"/>
  <c r="J153" i="29"/>
  <c r="K153" i="29"/>
  <c r="D153" i="29"/>
  <c r="G153" i="29"/>
  <c r="E153" i="29"/>
  <c r="O153" i="29"/>
  <c r="F153" i="29"/>
  <c r="H153" i="29"/>
  <c r="I153" i="29"/>
  <c r="I121" i="29"/>
  <c r="J121" i="29"/>
  <c r="K121" i="29"/>
  <c r="D121" i="29"/>
  <c r="E121" i="29"/>
  <c r="G121" i="29"/>
  <c r="F121" i="29"/>
  <c r="H121" i="29"/>
  <c r="O121" i="29"/>
  <c r="I105" i="29"/>
  <c r="J105" i="29"/>
  <c r="K105" i="29"/>
  <c r="D105" i="29"/>
  <c r="E105" i="29"/>
  <c r="G105" i="29"/>
  <c r="F105" i="29"/>
  <c r="O105" i="29"/>
  <c r="H105" i="29"/>
  <c r="J89" i="29"/>
  <c r="K89" i="29"/>
  <c r="D89" i="29"/>
  <c r="E89" i="29"/>
  <c r="G89" i="29"/>
  <c r="F89" i="29"/>
  <c r="O89" i="29"/>
  <c r="I89" i="29"/>
  <c r="H89" i="29"/>
  <c r="G41" i="29"/>
  <c r="H41" i="29"/>
  <c r="I41" i="29"/>
  <c r="J41" i="29"/>
  <c r="D41" i="29"/>
  <c r="E41" i="29"/>
  <c r="K41" i="29"/>
  <c r="O41" i="29"/>
  <c r="F41" i="29"/>
  <c r="I80" i="29"/>
  <c r="J80" i="29"/>
  <c r="K80" i="29"/>
  <c r="D80" i="29"/>
  <c r="E80" i="29"/>
  <c r="G80" i="29"/>
  <c r="F80" i="29"/>
  <c r="H80" i="29"/>
  <c r="O80" i="29"/>
  <c r="I64" i="29"/>
  <c r="J64" i="29"/>
  <c r="K64" i="29"/>
  <c r="D64" i="29"/>
  <c r="E64" i="29"/>
  <c r="G64" i="29"/>
  <c r="F64" i="29"/>
  <c r="O64" i="29"/>
  <c r="H64" i="29"/>
  <c r="F239" i="29"/>
  <c r="G239" i="29"/>
  <c r="E239" i="29"/>
  <c r="H239" i="29"/>
  <c r="I239" i="29"/>
  <c r="J239" i="29"/>
  <c r="O239" i="29"/>
  <c r="K239" i="29"/>
  <c r="D239" i="29"/>
  <c r="J127" i="29"/>
  <c r="K127" i="29"/>
  <c r="D127" i="29"/>
  <c r="G127" i="29"/>
  <c r="F127" i="29"/>
  <c r="H127" i="29"/>
  <c r="E127" i="29"/>
  <c r="I127" i="29"/>
  <c r="J79" i="29"/>
  <c r="O79" i="29"/>
  <c r="K79" i="29"/>
  <c r="D79" i="29"/>
  <c r="E79" i="29"/>
  <c r="G79" i="29"/>
  <c r="F79" i="29"/>
  <c r="H79" i="29"/>
  <c r="I79" i="29"/>
  <c r="I70" i="29"/>
  <c r="J70" i="29"/>
  <c r="K70" i="29"/>
  <c r="D70" i="29"/>
  <c r="E70" i="29"/>
  <c r="G70" i="29"/>
  <c r="F70" i="29"/>
  <c r="O70" i="29"/>
  <c r="H70" i="29"/>
  <c r="D257" i="29"/>
  <c r="J257" i="29"/>
  <c r="K257" i="29"/>
  <c r="E257" i="29"/>
  <c r="F257" i="29"/>
  <c r="H257" i="29"/>
  <c r="G257" i="29"/>
  <c r="I257" i="29"/>
  <c r="O257" i="29"/>
  <c r="I161" i="29"/>
  <c r="J161" i="29"/>
  <c r="K161" i="29"/>
  <c r="D161" i="29"/>
  <c r="G161" i="29"/>
  <c r="E161" i="29"/>
  <c r="F161" i="29"/>
  <c r="O161" i="29"/>
  <c r="H161" i="29"/>
  <c r="I129" i="29"/>
  <c r="J129" i="29"/>
  <c r="K129" i="29"/>
  <c r="D129" i="29"/>
  <c r="G129" i="29"/>
  <c r="E129" i="29"/>
  <c r="F129" i="29"/>
  <c r="H129" i="29"/>
  <c r="O129" i="29"/>
  <c r="I97" i="29"/>
  <c r="J97" i="29"/>
  <c r="K97" i="29"/>
  <c r="D97" i="29"/>
  <c r="E97" i="29"/>
  <c r="G97" i="29"/>
  <c r="H97" i="29"/>
  <c r="O97" i="29"/>
  <c r="F97" i="29"/>
  <c r="K210" i="29"/>
  <c r="G210" i="29"/>
  <c r="D210" i="29"/>
  <c r="F210" i="29"/>
  <c r="H210" i="29"/>
  <c r="I210" i="29"/>
  <c r="E210" i="29"/>
  <c r="J210" i="29"/>
  <c r="O210" i="29"/>
  <c r="J146" i="29"/>
  <c r="K146" i="29"/>
  <c r="D146" i="29"/>
  <c r="G146" i="29"/>
  <c r="E146" i="29"/>
  <c r="H146" i="29"/>
  <c r="F146" i="29"/>
  <c r="I146" i="29"/>
  <c r="F304" i="29"/>
  <c r="G304" i="29"/>
  <c r="H304" i="29"/>
  <c r="I304" i="29"/>
  <c r="J304" i="29"/>
  <c r="K304" i="29"/>
  <c r="D304" i="29"/>
  <c r="E304" i="29"/>
  <c r="O304" i="29"/>
  <c r="F288" i="29"/>
  <c r="G288" i="29"/>
  <c r="H288" i="29"/>
  <c r="I288" i="29"/>
  <c r="J288" i="29"/>
  <c r="D288" i="29"/>
  <c r="K288" i="29"/>
  <c r="E288" i="29"/>
  <c r="O288" i="29"/>
  <c r="F272" i="29"/>
  <c r="G272" i="29"/>
  <c r="H272" i="29"/>
  <c r="I272" i="29"/>
  <c r="J272" i="29"/>
  <c r="D272" i="29"/>
  <c r="K272" i="29"/>
  <c r="E272" i="29"/>
  <c r="D256" i="29"/>
  <c r="I256" i="29"/>
  <c r="J256" i="29"/>
  <c r="K256" i="29"/>
  <c r="E256" i="29"/>
  <c r="F256" i="29"/>
  <c r="G256" i="29"/>
  <c r="H256" i="29"/>
  <c r="O256" i="29"/>
  <c r="D240" i="29"/>
  <c r="F240" i="29"/>
  <c r="G240" i="29"/>
  <c r="J240" i="29"/>
  <c r="K240" i="29"/>
  <c r="E240" i="29"/>
  <c r="H240" i="29"/>
  <c r="I240" i="29"/>
  <c r="O240" i="29"/>
  <c r="D224" i="29"/>
  <c r="F224" i="29"/>
  <c r="G224" i="29"/>
  <c r="H224" i="29"/>
  <c r="E224" i="29"/>
  <c r="I224" i="29"/>
  <c r="J224" i="29"/>
  <c r="K224" i="29"/>
  <c r="O224" i="29"/>
  <c r="J208" i="29"/>
  <c r="K208" i="29"/>
  <c r="G208" i="29"/>
  <c r="F208" i="29"/>
  <c r="I208" i="29"/>
  <c r="D208" i="29"/>
  <c r="E208" i="29"/>
  <c r="H208" i="29"/>
  <c r="O208" i="29"/>
  <c r="J192" i="29"/>
  <c r="K192" i="29"/>
  <c r="G192" i="29"/>
  <c r="F192" i="29"/>
  <c r="I192" i="29"/>
  <c r="D192" i="29"/>
  <c r="E192" i="29"/>
  <c r="H192" i="29"/>
  <c r="O192" i="29"/>
  <c r="J176" i="29"/>
  <c r="K176" i="29"/>
  <c r="D176" i="29"/>
  <c r="G176" i="29"/>
  <c r="E176" i="29"/>
  <c r="H176" i="29"/>
  <c r="I176" i="29"/>
  <c r="F176" i="29"/>
  <c r="O176" i="29"/>
  <c r="I160" i="29"/>
  <c r="J160" i="29"/>
  <c r="K160" i="29"/>
  <c r="D160" i="29"/>
  <c r="G160" i="29"/>
  <c r="E160" i="29"/>
  <c r="F160" i="29"/>
  <c r="H160" i="29"/>
  <c r="O160" i="29"/>
  <c r="I144" i="29"/>
  <c r="J144" i="29"/>
  <c r="K144" i="29"/>
  <c r="D144" i="29"/>
  <c r="G144" i="29"/>
  <c r="E144" i="29"/>
  <c r="F144" i="29"/>
  <c r="H144" i="29"/>
  <c r="I112" i="29"/>
  <c r="J112" i="29"/>
  <c r="K112" i="29"/>
  <c r="D112" i="29"/>
  <c r="E112" i="29"/>
  <c r="G112" i="29"/>
  <c r="F112" i="29"/>
  <c r="H112" i="29"/>
  <c r="O112" i="29"/>
  <c r="I96" i="29"/>
  <c r="J96" i="29"/>
  <c r="K96" i="29"/>
  <c r="D96" i="29"/>
  <c r="E96" i="29"/>
  <c r="G96" i="29"/>
  <c r="F96" i="29"/>
  <c r="H96" i="29"/>
  <c r="O96" i="29"/>
  <c r="F48" i="29"/>
  <c r="G48" i="29"/>
  <c r="H48" i="29"/>
  <c r="I48" i="29"/>
  <c r="J48" i="29"/>
  <c r="D48" i="29"/>
  <c r="E48" i="29"/>
  <c r="K48" i="29"/>
  <c r="O48" i="29"/>
  <c r="F32" i="29"/>
  <c r="G32" i="29"/>
  <c r="H32" i="29"/>
  <c r="I32" i="29"/>
  <c r="J32" i="29"/>
  <c r="D32" i="29"/>
  <c r="E32" i="29"/>
  <c r="K32" i="29"/>
  <c r="O32" i="29"/>
  <c r="F16" i="29"/>
  <c r="G16" i="29"/>
  <c r="H16" i="29"/>
  <c r="I16" i="29"/>
  <c r="J16" i="29"/>
  <c r="D16" i="29"/>
  <c r="E16" i="29"/>
  <c r="K16" i="29"/>
  <c r="J143" i="29"/>
  <c r="K143" i="29"/>
  <c r="O143" i="29"/>
  <c r="D143" i="29"/>
  <c r="G143" i="29"/>
  <c r="F143" i="29"/>
  <c r="E143" i="29"/>
  <c r="H143" i="29"/>
  <c r="I143" i="29"/>
  <c r="J63" i="29"/>
  <c r="K63" i="29"/>
  <c r="D63" i="29"/>
  <c r="O63" i="29"/>
  <c r="E63" i="29"/>
  <c r="G63" i="29"/>
  <c r="F63" i="29"/>
  <c r="H63" i="29"/>
  <c r="I63" i="29"/>
  <c r="G31" i="29"/>
  <c r="H31" i="29"/>
  <c r="I31" i="29"/>
  <c r="J31" i="29"/>
  <c r="D31" i="29"/>
  <c r="E31" i="29"/>
  <c r="K31" i="29"/>
  <c r="O31" i="29"/>
  <c r="F31" i="29"/>
  <c r="I134" i="29"/>
  <c r="J134" i="29"/>
  <c r="K134" i="29"/>
  <c r="D134" i="29"/>
  <c r="G134" i="29"/>
  <c r="E134" i="29"/>
  <c r="F134" i="29"/>
  <c r="O134" i="29"/>
  <c r="H134" i="29"/>
  <c r="F22" i="29"/>
  <c r="G22" i="29"/>
  <c r="H22" i="29"/>
  <c r="I22" i="29"/>
  <c r="J22" i="29"/>
  <c r="D22" i="29"/>
  <c r="E22" i="29"/>
  <c r="K22" i="29"/>
  <c r="O22" i="29"/>
  <c r="J65" i="29"/>
  <c r="K65" i="29"/>
  <c r="D65" i="29"/>
  <c r="E65" i="29"/>
  <c r="G65" i="29"/>
  <c r="F65" i="29"/>
  <c r="O65" i="29"/>
  <c r="H65" i="29"/>
  <c r="I65" i="29"/>
  <c r="I120" i="29"/>
  <c r="J120" i="29"/>
  <c r="K120" i="29"/>
  <c r="D120" i="29"/>
  <c r="E120" i="29"/>
  <c r="G120" i="29"/>
  <c r="F120" i="29"/>
  <c r="H120" i="29"/>
  <c r="F299" i="29"/>
  <c r="G299" i="29"/>
  <c r="H299" i="29"/>
  <c r="I299" i="29"/>
  <c r="J299" i="29"/>
  <c r="D299" i="29"/>
  <c r="K299" i="29"/>
  <c r="E299" i="29"/>
  <c r="F283" i="29"/>
  <c r="G283" i="29"/>
  <c r="H283" i="29"/>
  <c r="I283" i="29"/>
  <c r="J283" i="29"/>
  <c r="K283" i="29"/>
  <c r="D283" i="29"/>
  <c r="O283" i="29"/>
  <c r="E283" i="29"/>
  <c r="F267" i="29"/>
  <c r="G267" i="29"/>
  <c r="H267" i="29"/>
  <c r="I267" i="29"/>
  <c r="J267" i="29"/>
  <c r="D267" i="29"/>
  <c r="K267" i="29"/>
  <c r="O267" i="29"/>
  <c r="E267" i="29"/>
  <c r="D251" i="29"/>
  <c r="E251" i="29"/>
  <c r="F251" i="29"/>
  <c r="G251" i="29"/>
  <c r="H251" i="29"/>
  <c r="J251" i="29"/>
  <c r="I251" i="29"/>
  <c r="O251" i="29"/>
  <c r="K251" i="29"/>
  <c r="D235" i="29"/>
  <c r="F235" i="29"/>
  <c r="G235" i="29"/>
  <c r="H235" i="29"/>
  <c r="J235" i="29"/>
  <c r="K235" i="29"/>
  <c r="E235" i="29"/>
  <c r="O235" i="29"/>
  <c r="I235" i="29"/>
  <c r="D219" i="29"/>
  <c r="F219" i="29"/>
  <c r="G219" i="29"/>
  <c r="H219" i="29"/>
  <c r="I219" i="29"/>
  <c r="E219" i="29"/>
  <c r="J219" i="29"/>
  <c r="O219" i="29"/>
  <c r="K219" i="29"/>
  <c r="J203" i="29"/>
  <c r="K203" i="29"/>
  <c r="G203" i="29"/>
  <c r="H203" i="29"/>
  <c r="D203" i="29"/>
  <c r="F203" i="29"/>
  <c r="I203" i="29"/>
  <c r="O203" i="29"/>
  <c r="E203" i="29"/>
  <c r="J187" i="29"/>
  <c r="K187" i="29"/>
  <c r="G187" i="29"/>
  <c r="H187" i="29"/>
  <c r="D187" i="29"/>
  <c r="E187" i="29"/>
  <c r="F187" i="29"/>
  <c r="O187" i="29"/>
  <c r="I187" i="29"/>
  <c r="J171" i="29"/>
  <c r="K171" i="29"/>
  <c r="D171" i="29"/>
  <c r="G171" i="29"/>
  <c r="E171" i="29"/>
  <c r="F171" i="29"/>
  <c r="H171" i="29"/>
  <c r="O171" i="29"/>
  <c r="I171" i="29"/>
  <c r="I155" i="29"/>
  <c r="J155" i="29"/>
  <c r="K155" i="29"/>
  <c r="D155" i="29"/>
  <c r="G155" i="29"/>
  <c r="E155" i="29"/>
  <c r="F155" i="29"/>
  <c r="O155" i="29"/>
  <c r="H155" i="29"/>
  <c r="I139" i="29"/>
  <c r="J139" i="29"/>
  <c r="K139" i="29"/>
  <c r="D139" i="29"/>
  <c r="G139" i="29"/>
  <c r="E139" i="29"/>
  <c r="F139" i="29"/>
  <c r="H139" i="29"/>
  <c r="I123" i="29"/>
  <c r="J123" i="29"/>
  <c r="K123" i="29"/>
  <c r="D123" i="29"/>
  <c r="G123" i="29"/>
  <c r="E123" i="29"/>
  <c r="F123" i="29"/>
  <c r="H123" i="29"/>
  <c r="I107" i="29"/>
  <c r="J107" i="29"/>
  <c r="K107" i="29"/>
  <c r="D107" i="29"/>
  <c r="E107" i="29"/>
  <c r="G107" i="29"/>
  <c r="F107" i="29"/>
  <c r="O107" i="29"/>
  <c r="H107" i="29"/>
  <c r="I91" i="29"/>
  <c r="J91" i="29"/>
  <c r="K91" i="29"/>
  <c r="D91" i="29"/>
  <c r="E91" i="29"/>
  <c r="G91" i="29"/>
  <c r="F91" i="29"/>
  <c r="O91" i="29"/>
  <c r="H91" i="29"/>
  <c r="I75" i="29"/>
  <c r="J75" i="29"/>
  <c r="K75" i="29"/>
  <c r="D75" i="29"/>
  <c r="E75" i="29"/>
  <c r="G75" i="29"/>
  <c r="F75" i="29"/>
  <c r="H75" i="29"/>
  <c r="O75" i="29"/>
  <c r="I59" i="29"/>
  <c r="J59" i="29"/>
  <c r="K59" i="29"/>
  <c r="D59" i="29"/>
  <c r="E59" i="29"/>
  <c r="G59" i="29"/>
  <c r="F59" i="29"/>
  <c r="H59" i="29"/>
  <c r="O59" i="29"/>
  <c r="F43" i="29"/>
  <c r="G43" i="29"/>
  <c r="H43" i="29"/>
  <c r="I43" i="29"/>
  <c r="J43" i="29"/>
  <c r="D43" i="29"/>
  <c r="E43" i="29"/>
  <c r="O43" i="29"/>
  <c r="K43" i="29"/>
  <c r="F27" i="29"/>
  <c r="G27" i="29"/>
  <c r="H27" i="29"/>
  <c r="I27" i="29"/>
  <c r="J27" i="29"/>
  <c r="D27" i="29"/>
  <c r="E27" i="29"/>
  <c r="O27" i="29"/>
  <c r="K27" i="29"/>
  <c r="F11" i="29"/>
  <c r="G11" i="29"/>
  <c r="H11" i="29"/>
  <c r="I11" i="29"/>
  <c r="J11" i="29"/>
  <c r="D11" i="29"/>
  <c r="E11" i="29"/>
  <c r="K11" i="29"/>
  <c r="O11" i="29"/>
  <c r="H306" i="29"/>
  <c r="G306" i="29"/>
  <c r="I306" i="29"/>
  <c r="J306" i="29"/>
  <c r="K306" i="29"/>
  <c r="D306" i="29"/>
  <c r="E306" i="29"/>
  <c r="F306" i="29"/>
  <c r="G290" i="29"/>
  <c r="H290" i="29"/>
  <c r="I290" i="29"/>
  <c r="J290" i="29"/>
  <c r="K290" i="29"/>
  <c r="D290" i="29"/>
  <c r="E290" i="29"/>
  <c r="F290" i="29"/>
  <c r="G274" i="29"/>
  <c r="H274" i="29"/>
  <c r="I274" i="29"/>
  <c r="J274" i="29"/>
  <c r="D274" i="29"/>
  <c r="K274" i="29"/>
  <c r="E274" i="29"/>
  <c r="F274" i="29"/>
  <c r="K258" i="29"/>
  <c r="E258" i="29"/>
  <c r="O258" i="29"/>
  <c r="F258" i="29"/>
  <c r="G258" i="29"/>
  <c r="H258" i="29"/>
  <c r="I258" i="29"/>
  <c r="J258" i="29"/>
  <c r="D258" i="29"/>
  <c r="F242" i="29"/>
  <c r="G242" i="29"/>
  <c r="H242" i="29"/>
  <c r="I242" i="29"/>
  <c r="O242" i="29"/>
  <c r="J242" i="29"/>
  <c r="K242" i="29"/>
  <c r="E242" i="29"/>
  <c r="D242" i="29"/>
  <c r="F226" i="29"/>
  <c r="G226" i="29"/>
  <c r="H226" i="29"/>
  <c r="E226" i="29"/>
  <c r="I226" i="29"/>
  <c r="J226" i="29"/>
  <c r="O226" i="29"/>
  <c r="K226" i="29"/>
  <c r="D226" i="29"/>
  <c r="K194" i="29"/>
  <c r="G194" i="29"/>
  <c r="O194" i="29"/>
  <c r="D194" i="29"/>
  <c r="F194" i="29"/>
  <c r="H194" i="29"/>
  <c r="I194" i="29"/>
  <c r="E194" i="29"/>
  <c r="J194" i="29"/>
  <c r="K182" i="29"/>
  <c r="D182" i="29"/>
  <c r="G182" i="29"/>
  <c r="J182" i="29"/>
  <c r="E182" i="29"/>
  <c r="H182" i="29"/>
  <c r="I182" i="29"/>
  <c r="F182" i="29"/>
  <c r="O182" i="29"/>
  <c r="K178" i="29"/>
  <c r="D178" i="29"/>
  <c r="G178" i="29"/>
  <c r="O178" i="29"/>
  <c r="E178" i="29"/>
  <c r="H178" i="29"/>
  <c r="I178" i="29"/>
  <c r="F178" i="29"/>
  <c r="J178" i="29"/>
  <c r="J166" i="29"/>
  <c r="K166" i="29"/>
  <c r="D166" i="29"/>
  <c r="G166" i="29"/>
  <c r="E166" i="29"/>
  <c r="F166" i="29"/>
  <c r="H166" i="29"/>
  <c r="O166" i="29"/>
  <c r="I166" i="29"/>
  <c r="J162" i="29"/>
  <c r="K162" i="29"/>
  <c r="D162" i="29"/>
  <c r="G162" i="29"/>
  <c r="E162" i="29"/>
  <c r="O162" i="29"/>
  <c r="H162" i="29"/>
  <c r="F162" i="29"/>
  <c r="I162" i="29"/>
  <c r="J130" i="29"/>
  <c r="K130" i="29"/>
  <c r="D130" i="29"/>
  <c r="G130" i="29"/>
  <c r="E130" i="29"/>
  <c r="H130" i="29"/>
  <c r="F130" i="29"/>
  <c r="I130" i="29"/>
  <c r="J114" i="29"/>
  <c r="K114" i="29"/>
  <c r="D114" i="29"/>
  <c r="E114" i="29"/>
  <c r="G114" i="29"/>
  <c r="F114" i="29"/>
  <c r="H114" i="29"/>
  <c r="I114" i="29"/>
  <c r="O114" i="29"/>
  <c r="J98" i="29"/>
  <c r="K98" i="29"/>
  <c r="O98" i="29"/>
  <c r="D98" i="29"/>
  <c r="E98" i="29"/>
  <c r="G98" i="29"/>
  <c r="F98" i="29"/>
  <c r="H98" i="29"/>
  <c r="I98" i="29"/>
  <c r="J82" i="29"/>
  <c r="K82" i="29"/>
  <c r="D82" i="29"/>
  <c r="E82" i="29"/>
  <c r="O82" i="29"/>
  <c r="G82" i="29"/>
  <c r="F82" i="29"/>
  <c r="H82" i="29"/>
  <c r="I82" i="29"/>
  <c r="J66" i="29"/>
  <c r="K66" i="29"/>
  <c r="D66" i="29"/>
  <c r="E66" i="29"/>
  <c r="G66" i="29"/>
  <c r="F66" i="29"/>
  <c r="O66" i="29"/>
  <c r="H66" i="29"/>
  <c r="I66" i="29"/>
  <c r="G50" i="29"/>
  <c r="H50" i="29"/>
  <c r="I50" i="29"/>
  <c r="J50" i="29"/>
  <c r="D50" i="29"/>
  <c r="E50" i="29"/>
  <c r="K50" i="29"/>
  <c r="O50" i="29"/>
  <c r="F50" i="29"/>
  <c r="G34" i="29"/>
  <c r="H34" i="29"/>
  <c r="O34" i="29"/>
  <c r="I34" i="29"/>
  <c r="J34" i="29"/>
  <c r="D34" i="29"/>
  <c r="E34" i="29"/>
  <c r="K34" i="29"/>
  <c r="F34" i="29"/>
  <c r="G18" i="29"/>
  <c r="H18" i="29"/>
  <c r="I18" i="29"/>
  <c r="J18" i="29"/>
  <c r="O18" i="29"/>
  <c r="D18" i="29"/>
  <c r="E18" i="29"/>
  <c r="K18" i="29"/>
  <c r="F18" i="29"/>
  <c r="F301" i="29"/>
  <c r="G301" i="29"/>
  <c r="H301" i="29"/>
  <c r="I301" i="29"/>
  <c r="J301" i="29"/>
  <c r="D301" i="29"/>
  <c r="K301" i="29"/>
  <c r="E301" i="29"/>
  <c r="O301" i="29"/>
  <c r="F285" i="29"/>
  <c r="G285" i="29"/>
  <c r="H285" i="29"/>
  <c r="I285" i="29"/>
  <c r="J285" i="29"/>
  <c r="K285" i="29"/>
  <c r="D285" i="29"/>
  <c r="E285" i="29"/>
  <c r="O285" i="29"/>
  <c r="F269" i="29"/>
  <c r="G269" i="29"/>
  <c r="H269" i="29"/>
  <c r="I269" i="29"/>
  <c r="J269" i="29"/>
  <c r="K269" i="29"/>
  <c r="D269" i="29"/>
  <c r="E269" i="29"/>
  <c r="D253" i="29"/>
  <c r="F253" i="29"/>
  <c r="G253" i="29"/>
  <c r="H253" i="29"/>
  <c r="I253" i="29"/>
  <c r="J253" i="29"/>
  <c r="K253" i="29"/>
  <c r="E253" i="29"/>
  <c r="O253" i="29"/>
  <c r="D237" i="29"/>
  <c r="F237" i="29"/>
  <c r="G237" i="29"/>
  <c r="I237" i="29"/>
  <c r="J237" i="29"/>
  <c r="K237" i="29"/>
  <c r="E237" i="29"/>
  <c r="H237" i="29"/>
  <c r="O237" i="29"/>
  <c r="D221" i="29"/>
  <c r="F221" i="29"/>
  <c r="G221" i="29"/>
  <c r="H221" i="29"/>
  <c r="I221" i="29"/>
  <c r="E221" i="29"/>
  <c r="J221" i="29"/>
  <c r="K221" i="29"/>
  <c r="O221" i="29"/>
  <c r="J205" i="29"/>
  <c r="K205" i="29"/>
  <c r="G205" i="29"/>
  <c r="E205" i="29"/>
  <c r="H205" i="29"/>
  <c r="I205" i="29"/>
  <c r="D205" i="29"/>
  <c r="F205" i="29"/>
  <c r="O205" i="29"/>
  <c r="J189" i="29"/>
  <c r="K189" i="29"/>
  <c r="G189" i="29"/>
  <c r="E189" i="29"/>
  <c r="H189" i="29"/>
  <c r="I189" i="29"/>
  <c r="D189" i="29"/>
  <c r="F189" i="29"/>
  <c r="O189" i="29"/>
  <c r="J173" i="29"/>
  <c r="K173" i="29"/>
  <c r="D173" i="29"/>
  <c r="G173" i="29"/>
  <c r="E173" i="29"/>
  <c r="F173" i="29"/>
  <c r="H173" i="29"/>
  <c r="I173" i="29"/>
  <c r="O173" i="29"/>
  <c r="I157" i="29"/>
  <c r="J157" i="29"/>
  <c r="K157" i="29"/>
  <c r="D157" i="29"/>
  <c r="G157" i="29"/>
  <c r="F157" i="29"/>
  <c r="H157" i="29"/>
  <c r="E157" i="29"/>
  <c r="O157" i="29"/>
  <c r="I141" i="29"/>
  <c r="J141" i="29"/>
  <c r="K141" i="29"/>
  <c r="D141" i="29"/>
  <c r="G141" i="29"/>
  <c r="F141" i="29"/>
  <c r="H141" i="29"/>
  <c r="E141" i="29"/>
  <c r="O141" i="29"/>
  <c r="I125" i="29"/>
  <c r="J125" i="29"/>
  <c r="K125" i="29"/>
  <c r="D125" i="29"/>
  <c r="G125" i="29"/>
  <c r="F125" i="29"/>
  <c r="H125" i="29"/>
  <c r="E125" i="29"/>
  <c r="I109" i="29"/>
  <c r="J109" i="29"/>
  <c r="K109" i="29"/>
  <c r="D109" i="29"/>
  <c r="E109" i="29"/>
  <c r="G109" i="29"/>
  <c r="H109" i="29"/>
  <c r="F109" i="29"/>
  <c r="O109" i="29"/>
  <c r="I93" i="29"/>
  <c r="J93" i="29"/>
  <c r="K93" i="29"/>
  <c r="D93" i="29"/>
  <c r="E93" i="29"/>
  <c r="G93" i="29"/>
  <c r="F93" i="29"/>
  <c r="H93" i="29"/>
  <c r="O93" i="29"/>
  <c r="I77" i="29"/>
  <c r="J77" i="29"/>
  <c r="K77" i="29"/>
  <c r="D77" i="29"/>
  <c r="E77" i="29"/>
  <c r="G77" i="29"/>
  <c r="H77" i="29"/>
  <c r="F77" i="29"/>
  <c r="O77" i="29"/>
  <c r="I61" i="29"/>
  <c r="J61" i="29"/>
  <c r="K61" i="29"/>
  <c r="D61" i="29"/>
  <c r="E61" i="29"/>
  <c r="G61" i="29"/>
  <c r="F61" i="29"/>
  <c r="H61" i="29"/>
  <c r="O61" i="29"/>
  <c r="F45" i="29"/>
  <c r="G45" i="29"/>
  <c r="H45" i="29"/>
  <c r="I45" i="29"/>
  <c r="J45" i="29"/>
  <c r="D45" i="29"/>
  <c r="E45" i="29"/>
  <c r="K45" i="29"/>
  <c r="O45" i="29"/>
  <c r="F29" i="29"/>
  <c r="G29" i="29"/>
  <c r="H29" i="29"/>
  <c r="I29" i="29"/>
  <c r="J29" i="29"/>
  <c r="D29" i="29"/>
  <c r="E29" i="29"/>
  <c r="K29" i="29"/>
  <c r="O29" i="29"/>
  <c r="G13" i="29"/>
  <c r="H13" i="29"/>
  <c r="I13" i="29"/>
  <c r="J13" i="29"/>
  <c r="D13" i="29"/>
  <c r="E13" i="29"/>
  <c r="F13" i="29"/>
  <c r="K13" i="29"/>
  <c r="O13" i="29"/>
  <c r="E260" i="29"/>
  <c r="F260" i="29"/>
  <c r="G260" i="29"/>
  <c r="H260" i="29"/>
  <c r="I260" i="29"/>
  <c r="J260" i="29"/>
  <c r="K260" i="29"/>
  <c r="O260" i="29"/>
  <c r="D260" i="29"/>
  <c r="F244" i="29"/>
  <c r="G244" i="29"/>
  <c r="E244" i="29"/>
  <c r="H244" i="29"/>
  <c r="I244" i="29"/>
  <c r="J244" i="29"/>
  <c r="K244" i="29"/>
  <c r="D244" i="29"/>
  <c r="O244" i="29"/>
  <c r="J111" i="29"/>
  <c r="K111" i="29"/>
  <c r="D111" i="29"/>
  <c r="E111" i="29"/>
  <c r="G111" i="29"/>
  <c r="O111" i="29"/>
  <c r="F111" i="29"/>
  <c r="H111" i="29"/>
  <c r="I111" i="29"/>
  <c r="F278" i="29"/>
  <c r="G278" i="29"/>
  <c r="H278" i="29"/>
  <c r="I278" i="29"/>
  <c r="J278" i="29"/>
  <c r="D278" i="29"/>
  <c r="K278" i="29"/>
  <c r="E278" i="29"/>
  <c r="O278" i="29"/>
  <c r="I102" i="29"/>
  <c r="J102" i="29"/>
  <c r="K102" i="29"/>
  <c r="D102" i="29"/>
  <c r="E102" i="29"/>
  <c r="G102" i="29"/>
  <c r="F102" i="29"/>
  <c r="H102" i="29"/>
  <c r="O102" i="29"/>
  <c r="F305" i="29"/>
  <c r="G305" i="29"/>
  <c r="H305" i="29"/>
  <c r="I305" i="29"/>
  <c r="J305" i="29"/>
  <c r="D305" i="29"/>
  <c r="K305" i="29"/>
  <c r="E305" i="29"/>
  <c r="O305" i="29"/>
  <c r="J209" i="29"/>
  <c r="K209" i="29"/>
  <c r="G209" i="29"/>
  <c r="D209" i="29"/>
  <c r="E209" i="29"/>
  <c r="F209" i="29"/>
  <c r="H209" i="29"/>
  <c r="I209" i="29"/>
  <c r="O209" i="29"/>
  <c r="J81" i="29"/>
  <c r="K81" i="29"/>
  <c r="D81" i="29"/>
  <c r="E81" i="29"/>
  <c r="O81" i="29"/>
  <c r="G81" i="29"/>
  <c r="F81" i="29"/>
  <c r="H81" i="29"/>
  <c r="I81" i="29"/>
  <c r="H8" i="29"/>
  <c r="F8" i="29"/>
  <c r="G8" i="29"/>
  <c r="E8" i="29"/>
  <c r="D8" i="29"/>
  <c r="K8" i="29"/>
  <c r="I8" i="29"/>
  <c r="J8" i="29"/>
  <c r="F294" i="29"/>
  <c r="G294" i="29"/>
  <c r="H294" i="29"/>
  <c r="I294" i="29"/>
  <c r="J294" i="29"/>
  <c r="K294" i="29"/>
  <c r="D294" i="29"/>
  <c r="E294" i="29"/>
  <c r="O294" i="29"/>
  <c r="F246" i="29"/>
  <c r="G246" i="29"/>
  <c r="E246" i="29"/>
  <c r="H246" i="29"/>
  <c r="I246" i="29"/>
  <c r="J246" i="29"/>
  <c r="K246" i="29"/>
  <c r="O246" i="29"/>
  <c r="D246" i="29"/>
  <c r="D230" i="29"/>
  <c r="F230" i="29"/>
  <c r="G230" i="29"/>
  <c r="H230" i="29"/>
  <c r="E230" i="29"/>
  <c r="I230" i="29"/>
  <c r="J230" i="29"/>
  <c r="K230" i="29"/>
  <c r="O230" i="29"/>
  <c r="G292" i="29"/>
  <c r="H292" i="29"/>
  <c r="I292" i="29"/>
  <c r="J292" i="29"/>
  <c r="K292" i="29"/>
  <c r="D292" i="29"/>
  <c r="E292" i="29"/>
  <c r="O292" i="29"/>
  <c r="F292" i="29"/>
  <c r="G276" i="29"/>
  <c r="H276" i="29"/>
  <c r="I276" i="29"/>
  <c r="J276" i="29"/>
  <c r="D276" i="29"/>
  <c r="K276" i="29"/>
  <c r="E276" i="29"/>
  <c r="F276" i="29"/>
  <c r="F228" i="29"/>
  <c r="G228" i="29"/>
  <c r="H228" i="29"/>
  <c r="E228" i="29"/>
  <c r="I228" i="29"/>
  <c r="J228" i="29"/>
  <c r="K228" i="29"/>
  <c r="D228" i="29"/>
  <c r="O228" i="29"/>
  <c r="K212" i="29"/>
  <c r="G212" i="29"/>
  <c r="D212" i="29"/>
  <c r="E212" i="29"/>
  <c r="F212" i="29"/>
  <c r="H212" i="29"/>
  <c r="I212" i="29"/>
  <c r="O212" i="29"/>
  <c r="J212" i="29"/>
  <c r="K196" i="29"/>
  <c r="G196" i="29"/>
  <c r="D196" i="29"/>
  <c r="E196" i="29"/>
  <c r="F196" i="29"/>
  <c r="H196" i="29"/>
  <c r="I196" i="29"/>
  <c r="J196" i="29"/>
  <c r="O196" i="29"/>
  <c r="K180" i="29"/>
  <c r="D180" i="29"/>
  <c r="G180" i="29"/>
  <c r="E180" i="29"/>
  <c r="H180" i="29"/>
  <c r="I180" i="29"/>
  <c r="F180" i="29"/>
  <c r="J180" i="29"/>
  <c r="O180" i="29"/>
  <c r="J164" i="29"/>
  <c r="K164" i="29"/>
  <c r="D164" i="29"/>
  <c r="G164" i="29"/>
  <c r="H164" i="29"/>
  <c r="E164" i="29"/>
  <c r="F164" i="29"/>
  <c r="I164" i="29"/>
  <c r="O164" i="29"/>
  <c r="J148" i="29"/>
  <c r="K148" i="29"/>
  <c r="D148" i="29"/>
  <c r="G148" i="29"/>
  <c r="H148" i="29"/>
  <c r="F148" i="29"/>
  <c r="E148" i="29"/>
  <c r="I148" i="29"/>
  <c r="J132" i="29"/>
  <c r="K132" i="29"/>
  <c r="D132" i="29"/>
  <c r="G132" i="29"/>
  <c r="H132" i="29"/>
  <c r="E132" i="29"/>
  <c r="F132" i="29"/>
  <c r="I132" i="29"/>
  <c r="J116" i="29"/>
  <c r="K116" i="29"/>
  <c r="D116" i="29"/>
  <c r="E116" i="29"/>
  <c r="G116" i="29"/>
  <c r="F116" i="29"/>
  <c r="H116" i="29"/>
  <c r="I116" i="29"/>
  <c r="J100" i="29"/>
  <c r="K100" i="29"/>
  <c r="D100" i="29"/>
  <c r="E100" i="29"/>
  <c r="G100" i="29"/>
  <c r="F100" i="29"/>
  <c r="H100" i="29"/>
  <c r="I100" i="29"/>
  <c r="O100" i="29"/>
  <c r="J84" i="29"/>
  <c r="K84" i="29"/>
  <c r="D84" i="29"/>
  <c r="E84" i="29"/>
  <c r="G84" i="29"/>
  <c r="F84" i="29"/>
  <c r="H84" i="29"/>
  <c r="O84" i="29"/>
  <c r="I84" i="29"/>
  <c r="J68" i="29"/>
  <c r="K68" i="29"/>
  <c r="D68" i="29"/>
  <c r="E68" i="29"/>
  <c r="G68" i="29"/>
  <c r="F68" i="29"/>
  <c r="H68" i="29"/>
  <c r="O68" i="29"/>
  <c r="I68" i="29"/>
  <c r="G52" i="29"/>
  <c r="H52" i="29"/>
  <c r="I52" i="29"/>
  <c r="J52" i="29"/>
  <c r="D52" i="29"/>
  <c r="E52" i="29"/>
  <c r="K52" i="29"/>
  <c r="F52" i="29"/>
  <c r="O52" i="29"/>
  <c r="G36" i="29"/>
  <c r="H36" i="29"/>
  <c r="I36" i="29"/>
  <c r="J36" i="29"/>
  <c r="D36" i="29"/>
  <c r="E36" i="29"/>
  <c r="K36" i="29"/>
  <c r="F36" i="29"/>
  <c r="O36" i="29"/>
  <c r="G20" i="29"/>
  <c r="H20" i="29"/>
  <c r="I20" i="29"/>
  <c r="J20" i="29"/>
  <c r="D20" i="29"/>
  <c r="E20" i="29"/>
  <c r="K20" i="29"/>
  <c r="O20" i="29"/>
  <c r="F20" i="29"/>
  <c r="U4" i="2"/>
  <c r="O24" i="45"/>
  <c r="G9" i="45"/>
  <c r="D14" i="59" l="1"/>
  <c r="N8" i="2"/>
  <c r="N264" i="2"/>
  <c r="N278" i="2"/>
  <c r="N261" i="2"/>
  <c r="N272" i="2"/>
  <c r="N56" i="2"/>
  <c r="N224" i="2"/>
  <c r="N41" i="2"/>
  <c r="N135" i="2"/>
  <c r="N289" i="2"/>
  <c r="N225" i="2"/>
  <c r="N161" i="2"/>
  <c r="N184" i="2"/>
  <c r="N128" i="2"/>
  <c r="N255" i="2"/>
  <c r="N191" i="2"/>
  <c r="N127" i="2"/>
  <c r="N63" i="2"/>
  <c r="N216" i="2"/>
  <c r="N262" i="2"/>
  <c r="N198" i="2"/>
  <c r="N134" i="2"/>
  <c r="N70" i="2"/>
  <c r="N32" i="2"/>
  <c r="N245" i="2"/>
  <c r="N181" i="2"/>
  <c r="N117" i="2"/>
  <c r="N53" i="2"/>
  <c r="N176" i="2"/>
  <c r="N268" i="2"/>
  <c r="N204" i="2"/>
  <c r="N140" i="2"/>
  <c r="N76" i="2"/>
  <c r="N12" i="2"/>
  <c r="N299" i="2"/>
  <c r="N235" i="2"/>
  <c r="N171" i="2"/>
  <c r="N107" i="2"/>
  <c r="N43" i="2"/>
  <c r="N112" i="2"/>
  <c r="N258" i="2"/>
  <c r="N194" i="2"/>
  <c r="N130" i="2"/>
  <c r="N66" i="2"/>
  <c r="N304" i="2"/>
  <c r="N281" i="2"/>
  <c r="N217" i="2"/>
  <c r="N153" i="2"/>
  <c r="N89" i="2"/>
  <c r="N25" i="2"/>
  <c r="N207" i="2"/>
  <c r="N150" i="2"/>
  <c r="N133" i="2"/>
  <c r="N220" i="2"/>
  <c r="N251" i="2"/>
  <c r="N59" i="2"/>
  <c r="N146" i="2"/>
  <c r="N169" i="2"/>
  <c r="N71" i="2"/>
  <c r="N270" i="2"/>
  <c r="N142" i="2"/>
  <c r="N14" i="2"/>
  <c r="N253" i="2"/>
  <c r="N125" i="2"/>
  <c r="N232" i="2"/>
  <c r="N212" i="2"/>
  <c r="N84" i="2"/>
  <c r="N307" i="2"/>
  <c r="N243" i="2"/>
  <c r="N115" i="2"/>
  <c r="N51" i="2"/>
  <c r="N266" i="2"/>
  <c r="N202" i="2"/>
  <c r="N97" i="2"/>
  <c r="N136" i="2"/>
  <c r="N16" i="2"/>
  <c r="N247" i="2"/>
  <c r="N183" i="2"/>
  <c r="N119" i="2"/>
  <c r="N55" i="2"/>
  <c r="N144" i="2"/>
  <c r="N254" i="2"/>
  <c r="N190" i="2"/>
  <c r="N126" i="2"/>
  <c r="N62" i="2"/>
  <c r="N301" i="2"/>
  <c r="N237" i="2"/>
  <c r="N173" i="2"/>
  <c r="N109" i="2"/>
  <c r="N45" i="2"/>
  <c r="N120" i="2"/>
  <c r="N260" i="2"/>
  <c r="N196" i="2"/>
  <c r="N132" i="2"/>
  <c r="N68" i="2"/>
  <c r="N280" i="2"/>
  <c r="N291" i="2"/>
  <c r="N227" i="2"/>
  <c r="N163" i="2"/>
  <c r="N99" i="2"/>
  <c r="N35" i="2"/>
  <c r="N48" i="2"/>
  <c r="N250" i="2"/>
  <c r="N186" i="2"/>
  <c r="N122" i="2"/>
  <c r="N58" i="2"/>
  <c r="N248" i="2"/>
  <c r="N273" i="2"/>
  <c r="N209" i="2"/>
  <c r="N145" i="2"/>
  <c r="N81" i="2"/>
  <c r="N17" i="2"/>
  <c r="N143" i="2"/>
  <c r="N86" i="2"/>
  <c r="N156" i="2"/>
  <c r="N233" i="2"/>
  <c r="N256" i="2"/>
  <c r="N200" i="2"/>
  <c r="N263" i="2"/>
  <c r="N199" i="2"/>
  <c r="N288" i="2"/>
  <c r="N206" i="2"/>
  <c r="N78" i="2"/>
  <c r="N189" i="2"/>
  <c r="N61" i="2"/>
  <c r="N276" i="2"/>
  <c r="N148" i="2"/>
  <c r="N20" i="2"/>
  <c r="N179" i="2"/>
  <c r="N168" i="2"/>
  <c r="N33" i="2"/>
  <c r="N104" i="2"/>
  <c r="N303" i="2"/>
  <c r="N239" i="2"/>
  <c r="N175" i="2"/>
  <c r="N111" i="2"/>
  <c r="N47" i="2"/>
  <c r="N24" i="2"/>
  <c r="N246" i="2"/>
  <c r="N182" i="2"/>
  <c r="N118" i="2"/>
  <c r="N54" i="2"/>
  <c r="N293" i="2"/>
  <c r="N229" i="2"/>
  <c r="N165" i="2"/>
  <c r="N101" i="2"/>
  <c r="N37" i="2"/>
  <c r="N40" i="2"/>
  <c r="N252" i="2"/>
  <c r="N188" i="2"/>
  <c r="N124" i="2"/>
  <c r="N60" i="2"/>
  <c r="N240" i="2"/>
  <c r="N283" i="2"/>
  <c r="N219" i="2"/>
  <c r="N155" i="2"/>
  <c r="N91" i="2"/>
  <c r="N27" i="2"/>
  <c r="N306" i="2"/>
  <c r="N242" i="2"/>
  <c r="N178" i="2"/>
  <c r="N114" i="2"/>
  <c r="D23" i="59"/>
  <c r="N50" i="2"/>
  <c r="N208" i="2"/>
  <c r="N265" i="2"/>
  <c r="N201" i="2"/>
  <c r="N137" i="2"/>
  <c r="N73" i="2"/>
  <c r="N9" i="2"/>
  <c r="N79" i="2"/>
  <c r="N105" i="2"/>
  <c r="N74" i="2"/>
  <c r="N88" i="2"/>
  <c r="N295" i="2"/>
  <c r="N231" i="2"/>
  <c r="N167" i="2"/>
  <c r="N103" i="2"/>
  <c r="N39" i="2"/>
  <c r="N302" i="2"/>
  <c r="N238" i="2"/>
  <c r="N174" i="2"/>
  <c r="N110" i="2"/>
  <c r="N46" i="2"/>
  <c r="N285" i="2"/>
  <c r="N221" i="2"/>
  <c r="N157" i="2"/>
  <c r="N93" i="2"/>
  <c r="N29" i="2"/>
  <c r="N244" i="2"/>
  <c r="N180" i="2"/>
  <c r="N116" i="2"/>
  <c r="N52" i="2"/>
  <c r="N192" i="2"/>
  <c r="N275" i="2"/>
  <c r="N211" i="2"/>
  <c r="N147" i="2"/>
  <c r="N83" i="2"/>
  <c r="N19" i="2"/>
  <c r="N298" i="2"/>
  <c r="N234" i="2"/>
  <c r="N170" i="2"/>
  <c r="N106" i="2"/>
  <c r="N42" i="2"/>
  <c r="N152" i="2"/>
  <c r="N257" i="2"/>
  <c r="N193" i="2"/>
  <c r="N129" i="2"/>
  <c r="N65" i="2"/>
  <c r="N15" i="2"/>
  <c r="N22" i="2"/>
  <c r="N69" i="2"/>
  <c r="N92" i="2"/>
  <c r="N187" i="2"/>
  <c r="N274" i="2"/>
  <c r="N82" i="2"/>
  <c r="N297" i="2"/>
  <c r="N10" i="2"/>
  <c r="N80" i="2"/>
  <c r="N287" i="2"/>
  <c r="N223" i="2"/>
  <c r="N159" i="2"/>
  <c r="N95" i="2"/>
  <c r="N31" i="2"/>
  <c r="N294" i="2"/>
  <c r="N230" i="2"/>
  <c r="N166" i="2"/>
  <c r="N102" i="2"/>
  <c r="N38" i="2"/>
  <c r="N277" i="2"/>
  <c r="N213" i="2"/>
  <c r="N149" i="2"/>
  <c r="N85" i="2"/>
  <c r="N21" i="2"/>
  <c r="N300" i="2"/>
  <c r="N236" i="2"/>
  <c r="N172" i="2"/>
  <c r="N108" i="2"/>
  <c r="N44" i="2"/>
  <c r="N160" i="2"/>
  <c r="N267" i="2"/>
  <c r="N203" i="2"/>
  <c r="N139" i="2"/>
  <c r="N75" i="2"/>
  <c r="N11" i="2"/>
  <c r="N290" i="2"/>
  <c r="N226" i="2"/>
  <c r="N162" i="2"/>
  <c r="N98" i="2"/>
  <c r="N34" i="2"/>
  <c r="N64" i="2"/>
  <c r="N249" i="2"/>
  <c r="N185" i="2"/>
  <c r="N121" i="2"/>
  <c r="N57" i="2"/>
  <c r="N271" i="2"/>
  <c r="N214" i="2"/>
  <c r="N197" i="2"/>
  <c r="N284" i="2"/>
  <c r="N28" i="2"/>
  <c r="N123" i="2"/>
  <c r="N210" i="2"/>
  <c r="N18" i="2"/>
  <c r="N138" i="2"/>
  <c r="N72" i="2"/>
  <c r="N279" i="2"/>
  <c r="N215" i="2"/>
  <c r="N151" i="2"/>
  <c r="N87" i="2"/>
  <c r="N23" i="2"/>
  <c r="N286" i="2"/>
  <c r="N222" i="2"/>
  <c r="N158" i="2"/>
  <c r="N94" i="2"/>
  <c r="N30" i="2"/>
  <c r="N269" i="2"/>
  <c r="N205" i="2"/>
  <c r="N141" i="2"/>
  <c r="N77" i="2"/>
  <c r="N13" i="2"/>
  <c r="N292" i="2"/>
  <c r="N228" i="2"/>
  <c r="N164" i="2"/>
  <c r="N100" i="2"/>
  <c r="N36" i="2"/>
  <c r="N96" i="2"/>
  <c r="N259" i="2"/>
  <c r="N195" i="2"/>
  <c r="N131" i="2"/>
  <c r="N67" i="2"/>
  <c r="N296" i="2"/>
  <c r="N282" i="2"/>
  <c r="N218" i="2"/>
  <c r="N154" i="2"/>
  <c r="N90" i="2"/>
  <c r="N26" i="2"/>
  <c r="N305" i="2"/>
  <c r="N241" i="2"/>
  <c r="N177" i="2"/>
  <c r="N113" i="2"/>
  <c r="N49" i="2"/>
  <c r="S308" i="21"/>
  <c r="T6" i="21" s="1"/>
  <c r="K308" i="29"/>
  <c r="P23" i="45"/>
  <c r="U23" i="45"/>
  <c r="L242" i="29"/>
  <c r="L65" i="29"/>
  <c r="L209" i="29"/>
  <c r="L203" i="29"/>
  <c r="L112" i="29"/>
  <c r="L79" i="29"/>
  <c r="L14" i="29"/>
  <c r="L238" i="29"/>
  <c r="L39" i="29"/>
  <c r="L55" i="29"/>
  <c r="L135" i="29"/>
  <c r="L151" i="29"/>
  <c r="L231" i="29"/>
  <c r="L295" i="29"/>
  <c r="L33" i="29"/>
  <c r="L246" i="29"/>
  <c r="L253" i="29"/>
  <c r="L224" i="29"/>
  <c r="L81" i="29"/>
  <c r="L162" i="29"/>
  <c r="L171" i="29"/>
  <c r="L144" i="29"/>
  <c r="L92" i="29"/>
  <c r="L108" i="29"/>
  <c r="L124" i="29"/>
  <c r="L128" i="29"/>
  <c r="L57" i="29"/>
  <c r="L181" i="29"/>
  <c r="L277" i="29"/>
  <c r="L154" i="29"/>
  <c r="L190" i="29"/>
  <c r="L250" i="29"/>
  <c r="L179" i="29"/>
  <c r="L211" i="29"/>
  <c r="L54" i="29"/>
  <c r="L191" i="29"/>
  <c r="L36" i="29"/>
  <c r="L220" i="29"/>
  <c r="L222" i="29"/>
  <c r="L180" i="29"/>
  <c r="L278" i="29"/>
  <c r="L244" i="29"/>
  <c r="L260" i="29"/>
  <c r="L173" i="29"/>
  <c r="L50" i="29"/>
  <c r="L166" i="29"/>
  <c r="L258" i="29"/>
  <c r="L134" i="29"/>
  <c r="L31" i="29"/>
  <c r="L160" i="29"/>
  <c r="L192" i="29"/>
  <c r="L240" i="29"/>
  <c r="L257" i="29"/>
  <c r="L127" i="29"/>
  <c r="L153" i="29"/>
  <c r="L233" i="29"/>
  <c r="L30" i="29"/>
  <c r="L142" i="29"/>
  <c r="L158" i="29"/>
  <c r="L215" i="29"/>
  <c r="L247" i="29"/>
  <c r="L38" i="29"/>
  <c r="L12" i="29"/>
  <c r="L236" i="29"/>
  <c r="L137" i="29"/>
  <c r="L9" i="29"/>
  <c r="L69" i="29"/>
  <c r="L186" i="29"/>
  <c r="L275" i="29"/>
  <c r="L177" i="29"/>
  <c r="L198" i="29"/>
  <c r="L72" i="29"/>
  <c r="L204" i="29"/>
  <c r="L264" i="29"/>
  <c r="L296" i="29"/>
  <c r="L86" i="29"/>
  <c r="L214" i="29"/>
  <c r="L52" i="29"/>
  <c r="L196" i="29"/>
  <c r="L212" i="29"/>
  <c r="J308" i="29"/>
  <c r="J309" i="29"/>
  <c r="L102" i="29"/>
  <c r="L61" i="29"/>
  <c r="L269" i="29"/>
  <c r="L59" i="29"/>
  <c r="L16" i="29"/>
  <c r="L208" i="29"/>
  <c r="L256" i="29"/>
  <c r="L146" i="29"/>
  <c r="L64" i="29"/>
  <c r="L169" i="29"/>
  <c r="L249" i="29"/>
  <c r="L46" i="29"/>
  <c r="L206" i="29"/>
  <c r="L167" i="29"/>
  <c r="L262" i="29"/>
  <c r="L28" i="29"/>
  <c r="L156" i="29"/>
  <c r="L252" i="29"/>
  <c r="L21" i="29"/>
  <c r="L293" i="29"/>
  <c r="L170" i="29"/>
  <c r="L202" i="29"/>
  <c r="L67" i="29"/>
  <c r="L118" i="29"/>
  <c r="L271" i="29"/>
  <c r="L56" i="29"/>
  <c r="L88" i="29"/>
  <c r="L280" i="29"/>
  <c r="L47" i="29"/>
  <c r="H308" i="29"/>
  <c r="H309" i="29"/>
  <c r="I308" i="29"/>
  <c r="I309" i="29"/>
  <c r="L77" i="29"/>
  <c r="L285" i="29"/>
  <c r="L178" i="29"/>
  <c r="L194" i="29"/>
  <c r="L75" i="29"/>
  <c r="L267" i="29"/>
  <c r="L283" i="29"/>
  <c r="L32" i="29"/>
  <c r="L176" i="29"/>
  <c r="L210" i="29"/>
  <c r="L97" i="29"/>
  <c r="L80" i="29"/>
  <c r="L41" i="29"/>
  <c r="L185" i="29"/>
  <c r="L201" i="29"/>
  <c r="L270" i="29"/>
  <c r="L71" i="29"/>
  <c r="L113" i="29"/>
  <c r="L150" i="29"/>
  <c r="L15" i="29"/>
  <c r="L207" i="29"/>
  <c r="L255" i="29"/>
  <c r="L44" i="29"/>
  <c r="L25" i="29"/>
  <c r="L73" i="29"/>
  <c r="L85" i="29"/>
  <c r="L58" i="29"/>
  <c r="L266" i="29"/>
  <c r="L83" i="29"/>
  <c r="L291" i="29"/>
  <c r="L104" i="29"/>
  <c r="L225" i="29"/>
  <c r="L292" i="29"/>
  <c r="L294" i="29"/>
  <c r="L93" i="29"/>
  <c r="L66" i="29"/>
  <c r="L182" i="29"/>
  <c r="L290" i="29"/>
  <c r="L306" i="29"/>
  <c r="L91" i="29"/>
  <c r="L299" i="29"/>
  <c r="L63" i="29"/>
  <c r="L143" i="29"/>
  <c r="L48" i="29"/>
  <c r="L129" i="29"/>
  <c r="L239" i="29"/>
  <c r="L174" i="29"/>
  <c r="L286" i="29"/>
  <c r="L302" i="29"/>
  <c r="L183" i="29"/>
  <c r="L263" i="29"/>
  <c r="L172" i="29"/>
  <c r="L188" i="29"/>
  <c r="L254" i="29"/>
  <c r="L175" i="29"/>
  <c r="L140" i="29"/>
  <c r="L37" i="29"/>
  <c r="L101" i="29"/>
  <c r="L117" i="29"/>
  <c r="L197" i="29"/>
  <c r="L229" i="29"/>
  <c r="L74" i="29"/>
  <c r="L298" i="29"/>
  <c r="L99" i="29"/>
  <c r="L115" i="29"/>
  <c r="L131" i="29"/>
  <c r="L307" i="29"/>
  <c r="L241" i="29"/>
  <c r="L95" i="29"/>
  <c r="L303" i="29"/>
  <c r="L24" i="29"/>
  <c r="L136" i="29"/>
  <c r="L152" i="29"/>
  <c r="L216" i="29"/>
  <c r="L282" i="29"/>
  <c r="L49" i="29"/>
  <c r="F309" i="29"/>
  <c r="F308" i="29"/>
  <c r="L276" i="29"/>
  <c r="L68" i="29"/>
  <c r="L84" i="29"/>
  <c r="L8" i="29"/>
  <c r="D309" i="29"/>
  <c r="D308" i="29"/>
  <c r="L111" i="29"/>
  <c r="L109" i="29"/>
  <c r="L125" i="29"/>
  <c r="L301" i="29"/>
  <c r="L82" i="29"/>
  <c r="L98" i="29"/>
  <c r="L274" i="29"/>
  <c r="L11" i="29"/>
  <c r="L107" i="29"/>
  <c r="L123" i="29"/>
  <c r="L139" i="29"/>
  <c r="L219" i="29"/>
  <c r="L272" i="29"/>
  <c r="L161" i="29"/>
  <c r="L265" i="29"/>
  <c r="L281" i="29"/>
  <c r="L87" i="29"/>
  <c r="L279" i="29"/>
  <c r="L268" i="29"/>
  <c r="L300" i="29"/>
  <c r="L53" i="29"/>
  <c r="L133" i="29"/>
  <c r="L149" i="29"/>
  <c r="L213" i="29"/>
  <c r="L245" i="29"/>
  <c r="L90" i="29"/>
  <c r="L106" i="29"/>
  <c r="L19" i="29"/>
  <c r="L147" i="29"/>
  <c r="L227" i="29"/>
  <c r="L40" i="29"/>
  <c r="L168" i="29"/>
  <c r="L200" i="29"/>
  <c r="L232" i="29"/>
  <c r="K309" i="29"/>
  <c r="L100" i="29"/>
  <c r="L116" i="29"/>
  <c r="L132" i="29"/>
  <c r="L148" i="29"/>
  <c r="L228" i="29"/>
  <c r="E309" i="29"/>
  <c r="E308" i="29"/>
  <c r="L13" i="29"/>
  <c r="L29" i="29"/>
  <c r="L141" i="29"/>
  <c r="L189" i="29"/>
  <c r="L221" i="29"/>
  <c r="L18" i="29"/>
  <c r="L27" i="29"/>
  <c r="L155" i="29"/>
  <c r="L235" i="29"/>
  <c r="L120" i="29"/>
  <c r="L22" i="29"/>
  <c r="L288" i="29"/>
  <c r="L304" i="29"/>
  <c r="L89" i="29"/>
  <c r="L105" i="29"/>
  <c r="L62" i="29"/>
  <c r="L103" i="29"/>
  <c r="L287" i="29"/>
  <c r="L60" i="29"/>
  <c r="L284" i="29"/>
  <c r="L273" i="29"/>
  <c r="L165" i="29"/>
  <c r="L261" i="29"/>
  <c r="L10" i="29"/>
  <c r="L26" i="29"/>
  <c r="L122" i="29"/>
  <c r="L218" i="29"/>
  <c r="L35" i="29"/>
  <c r="L163" i="29"/>
  <c r="L243" i="29"/>
  <c r="L17" i="29"/>
  <c r="L248" i="29"/>
  <c r="L20" i="29"/>
  <c r="L164" i="29"/>
  <c r="L230" i="29"/>
  <c r="G308" i="29"/>
  <c r="G309" i="29"/>
  <c r="L305" i="29"/>
  <c r="L45" i="29"/>
  <c r="L157" i="29"/>
  <c r="L205" i="29"/>
  <c r="L237" i="29"/>
  <c r="L34" i="29"/>
  <c r="L114" i="29"/>
  <c r="L130" i="29"/>
  <c r="L226" i="29"/>
  <c r="L43" i="29"/>
  <c r="L187" i="29"/>
  <c r="L251" i="29"/>
  <c r="L96" i="29"/>
  <c r="L70" i="29"/>
  <c r="L121" i="29"/>
  <c r="L217" i="29"/>
  <c r="L297" i="29"/>
  <c r="L78" i="29"/>
  <c r="L94" i="29"/>
  <c r="L110" i="29"/>
  <c r="L126" i="29"/>
  <c r="L23" i="29"/>
  <c r="L119" i="29"/>
  <c r="L199" i="29"/>
  <c r="L289" i="29"/>
  <c r="L159" i="29"/>
  <c r="L76" i="29"/>
  <c r="L42" i="29"/>
  <c r="L138" i="29"/>
  <c r="L234" i="29"/>
  <c r="L51" i="29"/>
  <c r="L195" i="29"/>
  <c r="L259" i="29"/>
  <c r="L145" i="29"/>
  <c r="L184" i="29"/>
  <c r="L193" i="29"/>
  <c r="L223" i="29"/>
  <c r="V3" i="9"/>
  <c r="I27" i="45" s="1"/>
  <c r="Q6" i="9"/>
  <c r="R8" i="9" s="1"/>
  <c r="I3" i="9"/>
  <c r="G18" i="50"/>
  <c r="V5" i="9" s="1"/>
  <c r="G12" i="50"/>
  <c r="I15" i="45" s="1"/>
  <c r="G7" i="50"/>
  <c r="I5" i="9" s="1"/>
  <c r="Q4" i="29"/>
  <c r="U10" i="50"/>
  <c r="K5" i="29" s="1"/>
  <c r="D5" i="21"/>
  <c r="E5" i="21"/>
  <c r="G5" i="21"/>
  <c r="H5" i="21"/>
  <c r="I5" i="21"/>
  <c r="E4" i="21"/>
  <c r="F4" i="21"/>
  <c r="G4" i="21"/>
  <c r="H4" i="21"/>
  <c r="I4" i="21"/>
  <c r="J4" i="21"/>
  <c r="D4" i="21"/>
  <c r="O12" i="50"/>
  <c r="E6" i="21" s="1"/>
  <c r="P12" i="50"/>
  <c r="F6" i="21" s="1"/>
  <c r="R12" i="50"/>
  <c r="G6" i="21" s="1"/>
  <c r="S12" i="50"/>
  <c r="H6" i="21" s="1"/>
  <c r="T12" i="50"/>
  <c r="I6" i="21" s="1"/>
  <c r="U12" i="50"/>
  <c r="N12" i="50"/>
  <c r="D6" i="21" s="1"/>
  <c r="W308" i="53" l="1"/>
  <c r="S6" i="21"/>
  <c r="J6" i="21"/>
  <c r="T13" i="45" s="1"/>
  <c r="I29" i="45"/>
  <c r="I7" i="45"/>
  <c r="I9" i="45"/>
  <c r="N5" i="9"/>
  <c r="M8" i="9" s="1"/>
  <c r="N8" i="9" s="1"/>
  <c r="J5" i="21"/>
  <c r="Q3" i="29"/>
  <c r="M46" i="9" l="1"/>
  <c r="N46" i="9" s="1"/>
  <c r="M307" i="9"/>
  <c r="N307" i="9" s="1"/>
  <c r="M71" i="9"/>
  <c r="N71" i="9" s="1"/>
  <c r="M112" i="9"/>
  <c r="N112" i="9" s="1"/>
  <c r="M61" i="9"/>
  <c r="N61" i="9" s="1"/>
  <c r="M242" i="9"/>
  <c r="N242" i="9" s="1"/>
  <c r="M150" i="9"/>
  <c r="N150" i="9" s="1"/>
  <c r="M240" i="9"/>
  <c r="N240" i="9" s="1"/>
  <c r="M253" i="9"/>
  <c r="M204" i="9"/>
  <c r="N204" i="9" s="1"/>
  <c r="M304" i="9"/>
  <c r="N304" i="9" s="1"/>
  <c r="M183" i="9"/>
  <c r="N183" i="9" s="1"/>
  <c r="M108" i="9"/>
  <c r="N108" i="9" s="1"/>
  <c r="M262" i="9"/>
  <c r="N262" i="9" s="1"/>
  <c r="M187" i="9"/>
  <c r="N187" i="9" s="1"/>
  <c r="M149" i="9"/>
  <c r="N149" i="9" s="1"/>
  <c r="M83" i="9"/>
  <c r="N83" i="9" s="1"/>
  <c r="M120" i="9"/>
  <c r="N120" i="9" s="1"/>
  <c r="M154" i="9"/>
  <c r="N154" i="9" s="1"/>
  <c r="M34" i="9"/>
  <c r="N34" i="9" s="1"/>
  <c r="M290" i="9"/>
  <c r="N290" i="9" s="1"/>
  <c r="M200" i="9"/>
  <c r="N200" i="9" s="1"/>
  <c r="M63" i="9"/>
  <c r="N63" i="9" s="1"/>
  <c r="M142" i="9"/>
  <c r="N142" i="9" s="1"/>
  <c r="M277" i="9"/>
  <c r="N277" i="9" s="1"/>
  <c r="M37" i="9"/>
  <c r="N37" i="9" s="1"/>
  <c r="M188" i="9"/>
  <c r="N188" i="9" s="1"/>
  <c r="M208" i="9"/>
  <c r="N208" i="9" s="1"/>
  <c r="M179" i="9"/>
  <c r="N179" i="9" s="1"/>
  <c r="M64" i="9"/>
  <c r="N64" i="9" s="1"/>
  <c r="M234" i="9"/>
  <c r="N234" i="9" s="1"/>
  <c r="M130" i="9"/>
  <c r="N130" i="9" s="1"/>
  <c r="M280" i="9"/>
  <c r="N280" i="9" s="1"/>
  <c r="M153" i="9"/>
  <c r="N153" i="9" s="1"/>
  <c r="M168" i="9"/>
  <c r="N168" i="9" s="1"/>
  <c r="M151" i="9"/>
  <c r="N151" i="9" s="1"/>
  <c r="M55" i="9"/>
  <c r="N55" i="9" s="1"/>
  <c r="M222" i="9"/>
  <c r="N222" i="9" s="1"/>
  <c r="M134" i="9"/>
  <c r="N134" i="9" s="1"/>
  <c r="M22" i="9"/>
  <c r="N22" i="9" s="1"/>
  <c r="M229" i="9"/>
  <c r="N229" i="9" s="1"/>
  <c r="M133" i="9"/>
  <c r="N133" i="9" s="1"/>
  <c r="M21" i="9"/>
  <c r="N21" i="9" s="1"/>
  <c r="M292" i="9"/>
  <c r="N292" i="9" s="1"/>
  <c r="M180" i="9"/>
  <c r="N180" i="9" s="1"/>
  <c r="M76" i="9"/>
  <c r="N76" i="9" s="1"/>
  <c r="M176" i="9"/>
  <c r="N176" i="9" s="1"/>
  <c r="M259" i="9"/>
  <c r="N259" i="9" s="1"/>
  <c r="M171" i="9"/>
  <c r="N171" i="9" s="1"/>
  <c r="M59" i="9"/>
  <c r="N59" i="9" s="1"/>
  <c r="M223" i="9"/>
  <c r="N223" i="9" s="1"/>
  <c r="M226" i="9"/>
  <c r="N226" i="9" s="1"/>
  <c r="M114" i="9"/>
  <c r="N114" i="9" s="1"/>
  <c r="M152" i="9"/>
  <c r="N152" i="9" s="1"/>
  <c r="M265" i="9"/>
  <c r="N265" i="9" s="1"/>
  <c r="M137" i="9"/>
  <c r="N137" i="9" s="1"/>
  <c r="M175" i="9"/>
  <c r="N175" i="9" s="1"/>
  <c r="M270" i="9"/>
  <c r="N270" i="9" s="1"/>
  <c r="M30" i="9"/>
  <c r="N30" i="9" s="1"/>
  <c r="M141" i="9"/>
  <c r="N141" i="9" s="1"/>
  <c r="M300" i="9"/>
  <c r="N300" i="9" s="1"/>
  <c r="M100" i="9"/>
  <c r="N100" i="9" s="1"/>
  <c r="M275" i="9"/>
  <c r="N275" i="9" s="1"/>
  <c r="M67" i="9"/>
  <c r="N67" i="9" s="1"/>
  <c r="M281" i="9"/>
  <c r="N281" i="9" s="1"/>
  <c r="M136" i="9"/>
  <c r="N136" i="9" s="1"/>
  <c r="M135" i="9"/>
  <c r="N135" i="9" s="1"/>
  <c r="M47" i="9"/>
  <c r="N47" i="9" s="1"/>
  <c r="M214" i="9"/>
  <c r="N214" i="9" s="1"/>
  <c r="M110" i="9"/>
  <c r="N110" i="9" s="1"/>
  <c r="M14" i="9"/>
  <c r="N14" i="9" s="1"/>
  <c r="M213" i="9"/>
  <c r="N213" i="9" s="1"/>
  <c r="M125" i="9"/>
  <c r="N125" i="9" s="1"/>
  <c r="M13" i="9"/>
  <c r="N13" i="9" s="1"/>
  <c r="M268" i="9"/>
  <c r="N268" i="9" s="1"/>
  <c r="M172" i="9"/>
  <c r="N172" i="9" s="1"/>
  <c r="M60" i="9"/>
  <c r="N60" i="9" s="1"/>
  <c r="M128" i="9"/>
  <c r="N128" i="9" s="1"/>
  <c r="M251" i="9"/>
  <c r="N251" i="9" s="1"/>
  <c r="M147" i="9"/>
  <c r="N147" i="9" s="1"/>
  <c r="M51" i="9"/>
  <c r="N51" i="9" s="1"/>
  <c r="M293" i="9"/>
  <c r="N293" i="9" s="1"/>
  <c r="M218" i="9"/>
  <c r="N218" i="9" s="1"/>
  <c r="M106" i="9"/>
  <c r="N106" i="9" s="1"/>
  <c r="M24" i="9"/>
  <c r="N24" i="9" s="1"/>
  <c r="M257" i="9"/>
  <c r="N257" i="9" s="1"/>
  <c r="M129" i="9"/>
  <c r="N129" i="9" s="1"/>
  <c r="M127" i="9"/>
  <c r="N127" i="9" s="1"/>
  <c r="M206" i="9"/>
  <c r="N206" i="9" s="1"/>
  <c r="M272" i="9"/>
  <c r="N272" i="9" s="1"/>
  <c r="M101" i="9"/>
  <c r="N101" i="9" s="1"/>
  <c r="M252" i="9"/>
  <c r="N252" i="9" s="1"/>
  <c r="M52" i="9"/>
  <c r="N52" i="9" s="1"/>
  <c r="M48" i="9"/>
  <c r="N48" i="9" s="1"/>
  <c r="M243" i="9"/>
  <c r="N243" i="9" s="1"/>
  <c r="M131" i="9"/>
  <c r="N131" i="9" s="1"/>
  <c r="M269" i="9"/>
  <c r="N269" i="9" s="1"/>
  <c r="M194" i="9"/>
  <c r="N194" i="9" s="1"/>
  <c r="M98" i="9"/>
  <c r="N98" i="9" s="1"/>
  <c r="M271" i="9"/>
  <c r="N271" i="9" s="1"/>
  <c r="M249" i="9"/>
  <c r="N249" i="9" s="1"/>
  <c r="M121" i="9"/>
  <c r="N121" i="9" s="1"/>
  <c r="M56" i="9"/>
  <c r="N56" i="9" s="1"/>
  <c r="M119" i="9"/>
  <c r="N119" i="9" s="1"/>
  <c r="M296" i="9"/>
  <c r="N296" i="9" s="1"/>
  <c r="M198" i="9"/>
  <c r="N198" i="9" s="1"/>
  <c r="M86" i="9"/>
  <c r="N86" i="9" s="1"/>
  <c r="M32" i="9"/>
  <c r="N32" i="9" s="1"/>
  <c r="M197" i="9"/>
  <c r="N197" i="9" s="1"/>
  <c r="M85" i="9"/>
  <c r="N85" i="9" s="1"/>
  <c r="M160" i="9"/>
  <c r="N160" i="9" s="1"/>
  <c r="M244" i="9"/>
  <c r="N244" i="9" s="1"/>
  <c r="M140" i="9"/>
  <c r="N140" i="9" s="1"/>
  <c r="M44" i="9"/>
  <c r="N44" i="9" s="1"/>
  <c r="M215" i="9"/>
  <c r="N215" i="9" s="1"/>
  <c r="M235" i="9"/>
  <c r="N235" i="9" s="1"/>
  <c r="M123" i="9"/>
  <c r="N123" i="9" s="1"/>
  <c r="M19" i="9"/>
  <c r="N19" i="9" s="1"/>
  <c r="M298" i="9"/>
  <c r="N298" i="9" s="1"/>
  <c r="M178" i="9"/>
  <c r="N178" i="9" s="1"/>
  <c r="M66" i="9"/>
  <c r="N66" i="9" s="1"/>
  <c r="M301" i="9"/>
  <c r="N301" i="9" s="1"/>
  <c r="M217" i="9"/>
  <c r="N217" i="9" s="1"/>
  <c r="M89" i="9"/>
  <c r="N89" i="9" s="1"/>
  <c r="M185" i="9"/>
  <c r="N185" i="9" s="1"/>
  <c r="M104" i="9"/>
  <c r="N104" i="9" s="1"/>
  <c r="M23" i="9"/>
  <c r="N23" i="9" s="1"/>
  <c r="M94" i="9"/>
  <c r="N94" i="9" s="1"/>
  <c r="M205" i="9"/>
  <c r="N205" i="9" s="1"/>
  <c r="M264" i="9"/>
  <c r="N264" i="9" s="1"/>
  <c r="M164" i="9"/>
  <c r="N164" i="9" s="1"/>
  <c r="M43" i="9"/>
  <c r="N43" i="9" s="1"/>
  <c r="M231" i="9"/>
  <c r="N231" i="9" s="1"/>
  <c r="M111" i="9"/>
  <c r="N111" i="9" s="1"/>
  <c r="M232" i="9"/>
  <c r="N232" i="9" s="1"/>
  <c r="M174" i="9"/>
  <c r="N174" i="9" s="1"/>
  <c r="M78" i="9"/>
  <c r="N78" i="9" s="1"/>
  <c r="M207" i="9"/>
  <c r="N207" i="9" s="1"/>
  <c r="M189" i="9"/>
  <c r="N189" i="9" s="1"/>
  <c r="M77" i="9"/>
  <c r="N77" i="9" s="1"/>
  <c r="M239" i="9"/>
  <c r="N239" i="9" s="1"/>
  <c r="M236" i="9"/>
  <c r="N236" i="9" s="1"/>
  <c r="M124" i="9"/>
  <c r="N124" i="9" s="1"/>
  <c r="M36" i="9"/>
  <c r="N36" i="9" s="1"/>
  <c r="M238" i="9"/>
  <c r="N238" i="9" s="1"/>
  <c r="M211" i="9"/>
  <c r="N211" i="9" s="1"/>
  <c r="M115" i="9"/>
  <c r="N115" i="9" s="1"/>
  <c r="M248" i="9"/>
  <c r="N248" i="9" s="1"/>
  <c r="M282" i="9"/>
  <c r="N282" i="9" s="1"/>
  <c r="M170" i="9"/>
  <c r="N170" i="9" s="1"/>
  <c r="M50" i="9"/>
  <c r="N50" i="9" s="1"/>
  <c r="M299" i="9"/>
  <c r="N299" i="9" s="1"/>
  <c r="M201" i="9"/>
  <c r="N201" i="9" s="1"/>
  <c r="M73" i="9"/>
  <c r="N73" i="9" s="1"/>
  <c r="M191" i="9"/>
  <c r="N191" i="9" s="1"/>
  <c r="M87" i="9"/>
  <c r="N87" i="9" s="1"/>
  <c r="M184" i="9"/>
  <c r="N184" i="9" s="1"/>
  <c r="M158" i="9"/>
  <c r="N158" i="9" s="1"/>
  <c r="M70" i="9"/>
  <c r="N70" i="9" s="1"/>
  <c r="M286" i="9"/>
  <c r="N286" i="9" s="1"/>
  <c r="M165" i="9"/>
  <c r="N165" i="9" s="1"/>
  <c r="M69" i="9"/>
  <c r="N69" i="9" s="1"/>
  <c r="M246" i="9"/>
  <c r="N246" i="9" s="1"/>
  <c r="M228" i="9"/>
  <c r="N228" i="9" s="1"/>
  <c r="M116" i="9"/>
  <c r="N116" i="9" s="1"/>
  <c r="M12" i="9"/>
  <c r="N12" i="9" s="1"/>
  <c r="M285" i="9"/>
  <c r="N285" i="9" s="1"/>
  <c r="M195" i="9"/>
  <c r="N195" i="9" s="1"/>
  <c r="M107" i="9"/>
  <c r="N107" i="9" s="1"/>
  <c r="M192" i="9"/>
  <c r="N192" i="9" s="1"/>
  <c r="M258" i="9"/>
  <c r="N258" i="9" s="1"/>
  <c r="M162" i="9"/>
  <c r="N162" i="9" s="1"/>
  <c r="M42" i="9"/>
  <c r="N42" i="9" s="1"/>
  <c r="M306" i="9"/>
  <c r="N306" i="9" s="1"/>
  <c r="M193" i="9"/>
  <c r="N193" i="9" s="1"/>
  <c r="M65" i="9"/>
  <c r="N65" i="9" s="1"/>
  <c r="M57" i="9"/>
  <c r="N57" i="9" s="1"/>
  <c r="M90" i="9"/>
  <c r="N90" i="9" s="1"/>
  <c r="M199" i="9"/>
  <c r="N199" i="9" s="1"/>
  <c r="M241" i="9"/>
  <c r="N241" i="9" s="1"/>
  <c r="M49" i="9"/>
  <c r="N49" i="9" s="1"/>
  <c r="M88" i="9"/>
  <c r="N88" i="9" s="1"/>
  <c r="M167" i="9"/>
  <c r="N167" i="9" s="1"/>
  <c r="M103" i="9"/>
  <c r="N103" i="9" s="1"/>
  <c r="M39" i="9"/>
  <c r="N39" i="9" s="1"/>
  <c r="M40" i="9"/>
  <c r="N40" i="9" s="1"/>
  <c r="M190" i="9"/>
  <c r="N190" i="9" s="1"/>
  <c r="M126" i="9"/>
  <c r="N126" i="9" s="1"/>
  <c r="M62" i="9"/>
  <c r="N62" i="9" s="1"/>
  <c r="M216" i="9"/>
  <c r="N216" i="9" s="1"/>
  <c r="M245" i="9"/>
  <c r="N245" i="9" s="1"/>
  <c r="M181" i="9"/>
  <c r="N181" i="9" s="1"/>
  <c r="M117" i="9"/>
  <c r="N117" i="9" s="1"/>
  <c r="M53" i="9"/>
  <c r="N53" i="9" s="1"/>
  <c r="M16" i="9"/>
  <c r="N16" i="9" s="1"/>
  <c r="M284" i="9"/>
  <c r="N284" i="9" s="1"/>
  <c r="M220" i="9"/>
  <c r="N220" i="9" s="1"/>
  <c r="M156" i="9"/>
  <c r="N156" i="9" s="1"/>
  <c r="M92" i="9"/>
  <c r="N92" i="9" s="1"/>
  <c r="M28" i="9"/>
  <c r="N28" i="9" s="1"/>
  <c r="M96" i="9"/>
  <c r="N96" i="9" s="1"/>
  <c r="M291" i="9"/>
  <c r="N291" i="9" s="1"/>
  <c r="M227" i="9"/>
  <c r="N227" i="9" s="1"/>
  <c r="M163" i="9"/>
  <c r="N163" i="9" s="1"/>
  <c r="M99" i="9"/>
  <c r="N99" i="9" s="1"/>
  <c r="M35" i="9"/>
  <c r="N35" i="9" s="1"/>
  <c r="M303" i="9"/>
  <c r="N303" i="9" s="1"/>
  <c r="M274" i="9"/>
  <c r="N274" i="9" s="1"/>
  <c r="M210" i="9"/>
  <c r="N210" i="9" s="1"/>
  <c r="M146" i="9"/>
  <c r="N146" i="9" s="1"/>
  <c r="M82" i="9"/>
  <c r="N82" i="9" s="1"/>
  <c r="M18" i="9"/>
  <c r="N18" i="9" s="1"/>
  <c r="M294" i="9"/>
  <c r="N294" i="9" s="1"/>
  <c r="M297" i="9"/>
  <c r="N297" i="9" s="1"/>
  <c r="M233" i="9"/>
  <c r="N233" i="9" s="1"/>
  <c r="M169" i="9"/>
  <c r="N169" i="9" s="1"/>
  <c r="M105" i="9"/>
  <c r="N105" i="9" s="1"/>
  <c r="M41" i="9"/>
  <c r="N41" i="9" s="1"/>
  <c r="M26" i="9"/>
  <c r="N26" i="9" s="1"/>
  <c r="M305" i="9"/>
  <c r="N305" i="9" s="1"/>
  <c r="M177" i="9"/>
  <c r="N177" i="9" s="1"/>
  <c r="M113" i="9"/>
  <c r="N113" i="9" s="1"/>
  <c r="M72" i="9"/>
  <c r="N72" i="9" s="1"/>
  <c r="M159" i="9"/>
  <c r="N159" i="9" s="1"/>
  <c r="M95" i="9"/>
  <c r="N95" i="9" s="1"/>
  <c r="M31" i="9"/>
  <c r="N31" i="9" s="1"/>
  <c r="M295" i="9"/>
  <c r="N295" i="9" s="1"/>
  <c r="M182" i="9"/>
  <c r="N182" i="9" s="1"/>
  <c r="M118" i="9"/>
  <c r="N118" i="9" s="1"/>
  <c r="M54" i="9"/>
  <c r="N54" i="9" s="1"/>
  <c r="M144" i="9"/>
  <c r="N144" i="9" s="1"/>
  <c r="M237" i="9"/>
  <c r="N237" i="9" s="1"/>
  <c r="M173" i="9"/>
  <c r="N173" i="9" s="1"/>
  <c r="M109" i="9"/>
  <c r="N109" i="9" s="1"/>
  <c r="M45" i="9"/>
  <c r="N45" i="9" s="1"/>
  <c r="M287" i="9"/>
  <c r="N287" i="9" s="1"/>
  <c r="M276" i="9"/>
  <c r="N276" i="9" s="1"/>
  <c r="M212" i="9"/>
  <c r="N212" i="9" s="1"/>
  <c r="M148" i="9"/>
  <c r="N148" i="9" s="1"/>
  <c r="M84" i="9"/>
  <c r="N84" i="9" s="1"/>
  <c r="M20" i="9"/>
  <c r="N20" i="9" s="1"/>
  <c r="M80" i="9"/>
  <c r="N80" i="9" s="1"/>
  <c r="M283" i="9"/>
  <c r="N283" i="9" s="1"/>
  <c r="M219" i="9"/>
  <c r="N219" i="9" s="1"/>
  <c r="M155" i="9"/>
  <c r="N155" i="9" s="1"/>
  <c r="M91" i="9"/>
  <c r="N91" i="9" s="1"/>
  <c r="M27" i="9"/>
  <c r="N27" i="9" s="1"/>
  <c r="M247" i="9"/>
  <c r="N247" i="9" s="1"/>
  <c r="M266" i="9"/>
  <c r="N266" i="9" s="1"/>
  <c r="M202" i="9"/>
  <c r="N202" i="9" s="1"/>
  <c r="M138" i="9"/>
  <c r="N138" i="9" s="1"/>
  <c r="M74" i="9"/>
  <c r="N74" i="9" s="1"/>
  <c r="M10" i="9"/>
  <c r="N10" i="9" s="1"/>
  <c r="M278" i="9"/>
  <c r="N278" i="9" s="1"/>
  <c r="M289" i="9"/>
  <c r="N289" i="9" s="1"/>
  <c r="M225" i="9"/>
  <c r="N225" i="9" s="1"/>
  <c r="M161" i="9"/>
  <c r="N161" i="9" s="1"/>
  <c r="M97" i="9"/>
  <c r="N97" i="9" s="1"/>
  <c r="M33" i="9"/>
  <c r="N33" i="9" s="1"/>
  <c r="M25" i="9"/>
  <c r="N25" i="9" s="1"/>
  <c r="M256" i="9"/>
  <c r="N256" i="9" s="1"/>
  <c r="M279" i="9"/>
  <c r="N279" i="9" s="1"/>
  <c r="M143" i="9"/>
  <c r="N143" i="9" s="1"/>
  <c r="M79" i="9"/>
  <c r="N79" i="9" s="1"/>
  <c r="M15" i="9"/>
  <c r="N15" i="9" s="1"/>
  <c r="M230" i="9"/>
  <c r="N230" i="9" s="1"/>
  <c r="M166" i="9"/>
  <c r="N166" i="9" s="1"/>
  <c r="M102" i="9"/>
  <c r="N102" i="9" s="1"/>
  <c r="M38" i="9"/>
  <c r="N38" i="9" s="1"/>
  <c r="M263" i="9"/>
  <c r="N263" i="9" s="1"/>
  <c r="M221" i="9"/>
  <c r="N221" i="9" s="1"/>
  <c r="M157" i="9"/>
  <c r="N157" i="9" s="1"/>
  <c r="M93" i="9"/>
  <c r="N93" i="9" s="1"/>
  <c r="M29" i="9"/>
  <c r="N29" i="9" s="1"/>
  <c r="M302" i="9"/>
  <c r="N302" i="9" s="1"/>
  <c r="M260" i="9"/>
  <c r="N260" i="9" s="1"/>
  <c r="M196" i="9"/>
  <c r="N196" i="9" s="1"/>
  <c r="M132" i="9"/>
  <c r="N132" i="9" s="1"/>
  <c r="M68" i="9"/>
  <c r="N68" i="9" s="1"/>
  <c r="M288" i="9"/>
  <c r="N288" i="9" s="1"/>
  <c r="M255" i="9"/>
  <c r="N255" i="9" s="1"/>
  <c r="M267" i="9"/>
  <c r="N267" i="9" s="1"/>
  <c r="M203" i="9"/>
  <c r="N203" i="9" s="1"/>
  <c r="M139" i="9"/>
  <c r="N139" i="9" s="1"/>
  <c r="M75" i="9"/>
  <c r="N75" i="9" s="1"/>
  <c r="M11" i="9"/>
  <c r="N11" i="9" s="1"/>
  <c r="M254" i="9"/>
  <c r="N254" i="9" s="1"/>
  <c r="M250" i="9"/>
  <c r="N250" i="9" s="1"/>
  <c r="M186" i="9"/>
  <c r="N186" i="9" s="1"/>
  <c r="M122" i="9"/>
  <c r="N122" i="9" s="1"/>
  <c r="M58" i="9"/>
  <c r="N58" i="9" s="1"/>
  <c r="M224" i="9"/>
  <c r="N224" i="9" s="1"/>
  <c r="M261" i="9"/>
  <c r="N261" i="9" s="1"/>
  <c r="M273" i="9"/>
  <c r="N273" i="9" s="1"/>
  <c r="M209" i="9"/>
  <c r="N209" i="9" s="1"/>
  <c r="M145" i="9"/>
  <c r="N145" i="9" s="1"/>
  <c r="M81" i="9"/>
  <c r="N81" i="9" s="1"/>
  <c r="M17" i="9"/>
  <c r="N17" i="9" s="1"/>
  <c r="M9" i="9"/>
  <c r="N9" i="9" s="1"/>
  <c r="S6" i="3"/>
  <c r="K6" i="3"/>
  <c r="G6" i="3"/>
  <c r="N253" i="9" l="1"/>
  <c r="N2" i="9" s="1"/>
  <c r="N15" i="45"/>
  <c r="N19" i="45" s="1"/>
  <c r="I19" i="45" s="1"/>
  <c r="N308" i="2"/>
  <c r="Q6" i="29" l="1"/>
  <c r="U30" i="45"/>
  <c r="R6" i="29"/>
  <c r="T8" i="45" l="1"/>
  <c r="T9" i="45"/>
  <c r="T10" i="45"/>
  <c r="T11" i="45"/>
  <c r="T12" i="45"/>
  <c r="T7" i="45"/>
  <c r="V9" i="2" l="1"/>
  <c r="V8" i="2"/>
  <c r="F308" i="2"/>
  <c r="S6" i="29"/>
  <c r="P37" i="45" l="1"/>
  <c r="H8" i="55" l="1"/>
  <c r="K308" i="2"/>
  <c r="L308" i="2"/>
  <c r="R303" i="3" l="1"/>
  <c r="R293" i="3"/>
  <c r="R283" i="3"/>
  <c r="R271" i="3"/>
  <c r="R261" i="3"/>
  <c r="R249" i="3"/>
  <c r="R237" i="3"/>
  <c r="R229" i="3"/>
  <c r="R219" i="3"/>
  <c r="R207" i="3"/>
  <c r="R197" i="3"/>
  <c r="R187" i="3"/>
  <c r="R177" i="3"/>
  <c r="R167" i="3"/>
  <c r="R155" i="3"/>
  <c r="R145" i="3"/>
  <c r="R139" i="3"/>
  <c r="R133" i="3"/>
  <c r="R131" i="3"/>
  <c r="R125" i="3"/>
  <c r="R121" i="3"/>
  <c r="R117" i="3"/>
  <c r="R115" i="3"/>
  <c r="R113" i="3"/>
  <c r="R111" i="3"/>
  <c r="R109" i="3"/>
  <c r="R107" i="3"/>
  <c r="R105" i="3"/>
  <c r="R103" i="3"/>
  <c r="R101" i="3"/>
  <c r="R99" i="3"/>
  <c r="R97" i="3"/>
  <c r="R95" i="3"/>
  <c r="R93" i="3"/>
  <c r="R91" i="3"/>
  <c r="R89" i="3"/>
  <c r="R87" i="3"/>
  <c r="R85" i="3"/>
  <c r="R83" i="3"/>
  <c r="R81" i="3"/>
  <c r="R79" i="3"/>
  <c r="R77" i="3"/>
  <c r="R75" i="3"/>
  <c r="R73" i="3"/>
  <c r="R71" i="3"/>
  <c r="R69" i="3"/>
  <c r="R67" i="3"/>
  <c r="R65" i="3"/>
  <c r="R63" i="3"/>
  <c r="R61" i="3"/>
  <c r="R59" i="3"/>
  <c r="R57" i="3"/>
  <c r="R55" i="3"/>
  <c r="R53" i="3"/>
  <c r="R51" i="3"/>
  <c r="R49" i="3"/>
  <c r="R47" i="3"/>
  <c r="R45" i="3"/>
  <c r="R43" i="3"/>
  <c r="R41" i="3"/>
  <c r="R39" i="3"/>
  <c r="R37" i="3"/>
  <c r="R35" i="3"/>
  <c r="R33" i="3"/>
  <c r="R31" i="3"/>
  <c r="R29" i="3"/>
  <c r="R27" i="3"/>
  <c r="R25" i="3"/>
  <c r="R23" i="3"/>
  <c r="R21" i="3"/>
  <c r="R19" i="3"/>
  <c r="R17" i="3"/>
  <c r="R15" i="3"/>
  <c r="R13" i="3"/>
  <c r="R11" i="3"/>
  <c r="R9" i="3"/>
  <c r="R299" i="3"/>
  <c r="R285" i="3"/>
  <c r="R275" i="3"/>
  <c r="R265" i="3"/>
  <c r="R255" i="3"/>
  <c r="R245" i="3"/>
  <c r="R235" i="3"/>
  <c r="R225" i="3"/>
  <c r="R215" i="3"/>
  <c r="R209" i="3"/>
  <c r="R201" i="3"/>
  <c r="R191" i="3"/>
  <c r="R181" i="3"/>
  <c r="R171" i="3"/>
  <c r="R161" i="3"/>
  <c r="R151" i="3"/>
  <c r="R141" i="3"/>
  <c r="R123" i="3"/>
  <c r="R301" i="3"/>
  <c r="R291" i="3"/>
  <c r="R281" i="3"/>
  <c r="R273" i="3"/>
  <c r="R263" i="3"/>
  <c r="R253" i="3"/>
  <c r="R243" i="3"/>
  <c r="R233" i="3"/>
  <c r="R223" i="3"/>
  <c r="R213" i="3"/>
  <c r="R203" i="3"/>
  <c r="R193" i="3"/>
  <c r="R185" i="3"/>
  <c r="R175" i="3"/>
  <c r="R165" i="3"/>
  <c r="R157" i="3"/>
  <c r="R147" i="3"/>
  <c r="R137" i="3"/>
  <c r="R119" i="3"/>
  <c r="R307" i="3"/>
  <c r="R297" i="3"/>
  <c r="R287" i="3"/>
  <c r="R277" i="3"/>
  <c r="R267" i="3"/>
  <c r="R257" i="3"/>
  <c r="R247" i="3"/>
  <c r="R239" i="3"/>
  <c r="R227" i="3"/>
  <c r="R217" i="3"/>
  <c r="R205" i="3"/>
  <c r="R195" i="3"/>
  <c r="R183" i="3"/>
  <c r="R173" i="3"/>
  <c r="R163" i="3"/>
  <c r="R153" i="3"/>
  <c r="R143" i="3"/>
  <c r="R135" i="3"/>
  <c r="R127" i="3"/>
  <c r="P308" i="3"/>
  <c r="R305" i="3"/>
  <c r="R295" i="3"/>
  <c r="R289" i="3"/>
  <c r="R279" i="3"/>
  <c r="R269" i="3"/>
  <c r="R259" i="3"/>
  <c r="R251" i="3"/>
  <c r="R241" i="3"/>
  <c r="R231" i="3"/>
  <c r="R221" i="3"/>
  <c r="R211" i="3"/>
  <c r="R199" i="3"/>
  <c r="R189" i="3"/>
  <c r="R179" i="3"/>
  <c r="R169" i="3"/>
  <c r="R159" i="3"/>
  <c r="R149" i="3"/>
  <c r="R129" i="3"/>
  <c r="R302" i="3"/>
  <c r="R294" i="3"/>
  <c r="R286" i="3"/>
  <c r="R278" i="3"/>
  <c r="R270" i="3"/>
  <c r="R262" i="3"/>
  <c r="R254" i="3"/>
  <c r="R246" i="3"/>
  <c r="R238" i="3"/>
  <c r="R230" i="3"/>
  <c r="R222" i="3"/>
  <c r="R214" i="3"/>
  <c r="R206" i="3"/>
  <c r="R198" i="3"/>
  <c r="R190" i="3"/>
  <c r="R182" i="3"/>
  <c r="R174" i="3"/>
  <c r="R166" i="3"/>
  <c r="R158" i="3"/>
  <c r="R150" i="3"/>
  <c r="R142" i="3"/>
  <c r="R134" i="3"/>
  <c r="R126" i="3"/>
  <c r="R118" i="3"/>
  <c r="R110" i="3"/>
  <c r="R102" i="3"/>
  <c r="R94" i="3"/>
  <c r="R86" i="3"/>
  <c r="R78" i="3"/>
  <c r="R70" i="3"/>
  <c r="R62" i="3"/>
  <c r="R54" i="3"/>
  <c r="R46" i="3"/>
  <c r="O308" i="3"/>
  <c r="R38" i="3"/>
  <c r="R30" i="3"/>
  <c r="R22" i="3"/>
  <c r="R14" i="3"/>
  <c r="R304" i="3"/>
  <c r="R296" i="3"/>
  <c r="R288" i="3"/>
  <c r="R280" i="3"/>
  <c r="R272" i="3"/>
  <c r="R264" i="3"/>
  <c r="R256" i="3"/>
  <c r="R250" i="3"/>
  <c r="R242" i="3"/>
  <c r="R234" i="3"/>
  <c r="R226" i="3"/>
  <c r="R220" i="3"/>
  <c r="R212" i="3"/>
  <c r="R204" i="3"/>
  <c r="R196" i="3"/>
  <c r="R188" i="3"/>
  <c r="R186" i="3"/>
  <c r="R176" i="3"/>
  <c r="R170" i="3"/>
  <c r="R160" i="3"/>
  <c r="R154" i="3"/>
  <c r="R144" i="3"/>
  <c r="R138" i="3"/>
  <c r="R130" i="3"/>
  <c r="R122" i="3"/>
  <c r="R116" i="3"/>
  <c r="R104" i="3"/>
  <c r="R90" i="3"/>
  <c r="R300" i="3"/>
  <c r="R292" i="3"/>
  <c r="R284" i="3"/>
  <c r="R274" i="3"/>
  <c r="R266" i="3"/>
  <c r="R258" i="3"/>
  <c r="R248" i="3"/>
  <c r="R240" i="3"/>
  <c r="R232" i="3"/>
  <c r="R218" i="3"/>
  <c r="R210" i="3"/>
  <c r="R202" i="3"/>
  <c r="R194" i="3"/>
  <c r="R180" i="3"/>
  <c r="R172" i="3"/>
  <c r="R164" i="3"/>
  <c r="R156" i="3"/>
  <c r="R148" i="3"/>
  <c r="R140" i="3"/>
  <c r="R132" i="3"/>
  <c r="R124" i="3"/>
  <c r="R114" i="3"/>
  <c r="R106" i="3"/>
  <c r="R98" i="3"/>
  <c r="R92" i="3"/>
  <c r="R84" i="3"/>
  <c r="R82" i="3"/>
  <c r="R80" i="3"/>
  <c r="R74" i="3"/>
  <c r="R72" i="3"/>
  <c r="R68" i="3"/>
  <c r="R66" i="3"/>
  <c r="R64" i="3"/>
  <c r="R60" i="3"/>
  <c r="R58" i="3"/>
  <c r="R56" i="3"/>
  <c r="R52" i="3"/>
  <c r="R50" i="3"/>
  <c r="R48" i="3"/>
  <c r="R44" i="3"/>
  <c r="R42" i="3"/>
  <c r="R40" i="3"/>
  <c r="R36" i="3"/>
  <c r="R34" i="3"/>
  <c r="R32" i="3"/>
  <c r="R28" i="3"/>
  <c r="R26" i="3"/>
  <c r="R24" i="3"/>
  <c r="R20" i="3"/>
  <c r="R18" i="3"/>
  <c r="R16" i="3"/>
  <c r="R12" i="3"/>
  <c r="R10" i="3"/>
  <c r="R306" i="3"/>
  <c r="R298" i="3"/>
  <c r="R290" i="3"/>
  <c r="R282" i="3"/>
  <c r="R276" i="3"/>
  <c r="R268" i="3"/>
  <c r="R260" i="3"/>
  <c r="R252" i="3"/>
  <c r="R244" i="3"/>
  <c r="R236" i="3"/>
  <c r="R228" i="3"/>
  <c r="R224" i="3"/>
  <c r="R216" i="3"/>
  <c r="R208" i="3"/>
  <c r="R200" i="3"/>
  <c r="R192" i="3"/>
  <c r="R184" i="3"/>
  <c r="R178" i="3"/>
  <c r="R168" i="3"/>
  <c r="R162" i="3"/>
  <c r="R152" i="3"/>
  <c r="R146" i="3"/>
  <c r="R136" i="3"/>
  <c r="R128" i="3"/>
  <c r="R120" i="3"/>
  <c r="R112" i="3"/>
  <c r="R108" i="3"/>
  <c r="R100" i="3"/>
  <c r="R96" i="3"/>
  <c r="R88" i="3"/>
  <c r="R76" i="3"/>
  <c r="N308" i="3"/>
  <c r="R308" i="2" l="1"/>
  <c r="Q308" i="2"/>
  <c r="M308" i="29" l="1"/>
  <c r="V10" i="2" l="1"/>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79" i="2"/>
  <c r="V180" i="2"/>
  <c r="V181" i="2"/>
  <c r="V182" i="2"/>
  <c r="V183" i="2"/>
  <c r="V184" i="2"/>
  <c r="V185" i="2"/>
  <c r="V186" i="2"/>
  <c r="V187" i="2"/>
  <c r="V188" i="2"/>
  <c r="V189" i="2"/>
  <c r="V190" i="2"/>
  <c r="V191" i="2"/>
  <c r="V192" i="2"/>
  <c r="V193" i="2"/>
  <c r="V194" i="2"/>
  <c r="V195" i="2"/>
  <c r="V196" i="2"/>
  <c r="V197" i="2"/>
  <c r="V198" i="2"/>
  <c r="V199" i="2"/>
  <c r="V200" i="2"/>
  <c r="V201" i="2"/>
  <c r="V202" i="2"/>
  <c r="V203" i="2"/>
  <c r="V204" i="2"/>
  <c r="V205" i="2"/>
  <c r="V206"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34" i="2"/>
  <c r="V235" i="2"/>
  <c r="V236" i="2"/>
  <c r="V237" i="2"/>
  <c r="V238" i="2"/>
  <c r="V239"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87" i="2"/>
  <c r="V288" i="2"/>
  <c r="V289" i="2"/>
  <c r="V290" i="2"/>
  <c r="V291" i="2"/>
  <c r="V292" i="2"/>
  <c r="V293" i="2"/>
  <c r="V294" i="2"/>
  <c r="V295" i="2"/>
  <c r="V296" i="2"/>
  <c r="V297" i="2"/>
  <c r="V298" i="2"/>
  <c r="V299" i="2"/>
  <c r="V300" i="2"/>
  <c r="V301" i="2"/>
  <c r="V302" i="2"/>
  <c r="V303" i="2"/>
  <c r="V304" i="2"/>
  <c r="V305" i="2"/>
  <c r="V306" i="2"/>
  <c r="V307" i="2"/>
  <c r="U276" i="2" l="1"/>
  <c r="U228" i="2"/>
  <c r="U204" i="2"/>
  <c r="U244" i="2"/>
  <c r="U140" i="2"/>
  <c r="U124" i="2"/>
  <c r="U76" i="2"/>
  <c r="U20" i="2"/>
  <c r="U300" i="2"/>
  <c r="U252" i="2"/>
  <c r="U148" i="2"/>
  <c r="U108" i="2"/>
  <c r="U52" i="2"/>
  <c r="U28" i="2"/>
  <c r="U292" i="2"/>
  <c r="U268" i="2"/>
  <c r="U260" i="2"/>
  <c r="U236" i="2"/>
  <c r="U220" i="2"/>
  <c r="U212" i="2"/>
  <c r="U188" i="2"/>
  <c r="U164" i="2"/>
  <c r="U116" i="2"/>
  <c r="U92" i="2"/>
  <c r="U84" i="2"/>
  <c r="U68" i="2"/>
  <c r="U172" i="2"/>
  <c r="U132" i="2"/>
  <c r="U60" i="2"/>
  <c r="U12" i="2"/>
  <c r="U284" i="2"/>
  <c r="U196" i="2"/>
  <c r="U180" i="2"/>
  <c r="U156" i="2"/>
  <c r="U100" i="2"/>
  <c r="U44" i="2"/>
  <c r="U36" i="2"/>
  <c r="U307" i="2"/>
  <c r="U299" i="2"/>
  <c r="U291" i="2"/>
  <c r="U283" i="2"/>
  <c r="U275" i="2"/>
  <c r="U267" i="2"/>
  <c r="U259" i="2"/>
  <c r="U251" i="2"/>
  <c r="U243" i="2"/>
  <c r="U235" i="2"/>
  <c r="U227" i="2"/>
  <c r="U219" i="2"/>
  <c r="U211" i="2"/>
  <c r="U203" i="2"/>
  <c r="U195" i="2"/>
  <c r="U187" i="2"/>
  <c r="U179" i="2"/>
  <c r="U171" i="2"/>
  <c r="U163" i="2"/>
  <c r="U155" i="2"/>
  <c r="U147" i="2"/>
  <c r="U139" i="2"/>
  <c r="U131" i="2"/>
  <c r="U123" i="2"/>
  <c r="U115" i="2"/>
  <c r="U107" i="2"/>
  <c r="U99" i="2"/>
  <c r="U91" i="2"/>
  <c r="U83" i="2"/>
  <c r="U75" i="2"/>
  <c r="U67" i="2"/>
  <c r="U59" i="2"/>
  <c r="U51" i="2"/>
  <c r="U43" i="2"/>
  <c r="U35" i="2"/>
  <c r="U27" i="2"/>
  <c r="U19" i="2"/>
  <c r="U11" i="2"/>
  <c r="U306" i="2"/>
  <c r="U298" i="2"/>
  <c r="U290" i="2"/>
  <c r="U282" i="2"/>
  <c r="U274" i="2"/>
  <c r="U266" i="2"/>
  <c r="U258" i="2"/>
  <c r="U250" i="2"/>
  <c r="U242" i="2"/>
  <c r="U234" i="2"/>
  <c r="U226" i="2"/>
  <c r="U218" i="2"/>
  <c r="U210" i="2"/>
  <c r="U202" i="2"/>
  <c r="U194" i="2"/>
  <c r="U186" i="2"/>
  <c r="U178" i="2"/>
  <c r="U170" i="2"/>
  <c r="U162" i="2"/>
  <c r="U154" i="2"/>
  <c r="U146" i="2"/>
  <c r="U138" i="2"/>
  <c r="U130" i="2"/>
  <c r="U122" i="2"/>
  <c r="U114" i="2"/>
  <c r="U106" i="2"/>
  <c r="U98" i="2"/>
  <c r="U90" i="2"/>
  <c r="U82" i="2"/>
  <c r="U74" i="2"/>
  <c r="U66" i="2"/>
  <c r="U58" i="2"/>
  <c r="U50" i="2"/>
  <c r="U42" i="2"/>
  <c r="U34" i="2"/>
  <c r="U26" i="2"/>
  <c r="U18" i="2"/>
  <c r="U10" i="2"/>
  <c r="U305" i="2"/>
  <c r="U297" i="2"/>
  <c r="U289" i="2"/>
  <c r="U281" i="2"/>
  <c r="U273" i="2"/>
  <c r="U265" i="2"/>
  <c r="U257" i="2"/>
  <c r="U249" i="2"/>
  <c r="U241" i="2"/>
  <c r="U233" i="2"/>
  <c r="U225" i="2"/>
  <c r="U217" i="2"/>
  <c r="U209" i="2"/>
  <c r="U201" i="2"/>
  <c r="U193" i="2"/>
  <c r="U185" i="2"/>
  <c r="U177" i="2"/>
  <c r="U169" i="2"/>
  <c r="U161" i="2"/>
  <c r="U153" i="2"/>
  <c r="U145" i="2"/>
  <c r="U137" i="2"/>
  <c r="U129" i="2"/>
  <c r="U121" i="2"/>
  <c r="U113" i="2"/>
  <c r="U105" i="2"/>
  <c r="U97" i="2"/>
  <c r="U89" i="2"/>
  <c r="U81" i="2"/>
  <c r="U73" i="2"/>
  <c r="U65" i="2"/>
  <c r="U57" i="2"/>
  <c r="U49" i="2"/>
  <c r="U41" i="2"/>
  <c r="U33" i="2"/>
  <c r="U25" i="2"/>
  <c r="U17" i="2"/>
  <c r="U9" i="2"/>
  <c r="U304" i="2"/>
  <c r="U296" i="2"/>
  <c r="U288" i="2"/>
  <c r="U280" i="2"/>
  <c r="U272" i="2"/>
  <c r="U264" i="2"/>
  <c r="U256" i="2"/>
  <c r="U248" i="2"/>
  <c r="U240" i="2"/>
  <c r="U232" i="2"/>
  <c r="U224" i="2"/>
  <c r="U216" i="2"/>
  <c r="U208" i="2"/>
  <c r="U200" i="2"/>
  <c r="U192" i="2"/>
  <c r="U184" i="2"/>
  <c r="U176" i="2"/>
  <c r="U168" i="2"/>
  <c r="U160" i="2"/>
  <c r="U152" i="2"/>
  <c r="U144" i="2"/>
  <c r="U136" i="2"/>
  <c r="U128" i="2"/>
  <c r="U120" i="2"/>
  <c r="U112" i="2"/>
  <c r="U104" i="2"/>
  <c r="U96" i="2"/>
  <c r="U88" i="2"/>
  <c r="U80" i="2"/>
  <c r="U72" i="2"/>
  <c r="U64" i="2"/>
  <c r="U56" i="2"/>
  <c r="U48" i="2"/>
  <c r="U40" i="2"/>
  <c r="U32" i="2"/>
  <c r="U24" i="2"/>
  <c r="U16" i="2"/>
  <c r="U303" i="2"/>
  <c r="U295" i="2"/>
  <c r="U287" i="2"/>
  <c r="U279" i="2"/>
  <c r="U271" i="2"/>
  <c r="U263" i="2"/>
  <c r="U255" i="2"/>
  <c r="U247" i="2"/>
  <c r="U239" i="2"/>
  <c r="U231" i="2"/>
  <c r="U223" i="2"/>
  <c r="U215" i="2"/>
  <c r="U207" i="2"/>
  <c r="U199" i="2"/>
  <c r="U191" i="2"/>
  <c r="U183" i="2"/>
  <c r="U175" i="2"/>
  <c r="U167" i="2"/>
  <c r="U159" i="2"/>
  <c r="U151" i="2"/>
  <c r="U143" i="2"/>
  <c r="U135" i="2"/>
  <c r="U127" i="2"/>
  <c r="U119" i="2"/>
  <c r="U111" i="2"/>
  <c r="U103" i="2"/>
  <c r="U95" i="2"/>
  <c r="U87" i="2"/>
  <c r="U79" i="2"/>
  <c r="U71" i="2"/>
  <c r="U63" i="2"/>
  <c r="U55" i="2"/>
  <c r="U47" i="2"/>
  <c r="U39" i="2"/>
  <c r="U31" i="2"/>
  <c r="U23" i="2"/>
  <c r="U15" i="2"/>
  <c r="U302" i="2"/>
  <c r="U294" i="2"/>
  <c r="U286" i="2"/>
  <c r="U278" i="2"/>
  <c r="U270" i="2"/>
  <c r="U262" i="2"/>
  <c r="U254" i="2"/>
  <c r="U246" i="2"/>
  <c r="U238" i="2"/>
  <c r="U230" i="2"/>
  <c r="U222" i="2"/>
  <c r="U214" i="2"/>
  <c r="U206" i="2"/>
  <c r="U198" i="2"/>
  <c r="U190" i="2"/>
  <c r="U182" i="2"/>
  <c r="U174" i="2"/>
  <c r="U166" i="2"/>
  <c r="U158" i="2"/>
  <c r="U150" i="2"/>
  <c r="U142" i="2"/>
  <c r="U134" i="2"/>
  <c r="U126" i="2"/>
  <c r="U118" i="2"/>
  <c r="U110" i="2"/>
  <c r="U102" i="2"/>
  <c r="U94" i="2"/>
  <c r="U86" i="2"/>
  <c r="U78" i="2"/>
  <c r="U70" i="2"/>
  <c r="U62" i="2"/>
  <c r="U54" i="2"/>
  <c r="U46" i="2"/>
  <c r="U38" i="2"/>
  <c r="U30" i="2"/>
  <c r="U22" i="2"/>
  <c r="U14" i="2"/>
  <c r="U301" i="2"/>
  <c r="U293" i="2"/>
  <c r="U285" i="2"/>
  <c r="U277" i="2"/>
  <c r="U269" i="2"/>
  <c r="U261" i="2"/>
  <c r="U253" i="2"/>
  <c r="U245" i="2"/>
  <c r="U237" i="2"/>
  <c r="U229" i="2"/>
  <c r="U221" i="2"/>
  <c r="U213" i="2"/>
  <c r="U205" i="2"/>
  <c r="U197" i="2"/>
  <c r="U189" i="2"/>
  <c r="U181" i="2"/>
  <c r="U173" i="2"/>
  <c r="U165" i="2"/>
  <c r="U157" i="2"/>
  <c r="U149" i="2"/>
  <c r="U141" i="2"/>
  <c r="U133" i="2"/>
  <c r="U125" i="2"/>
  <c r="U117" i="2"/>
  <c r="U109" i="2"/>
  <c r="U101" i="2"/>
  <c r="U93" i="2"/>
  <c r="U85" i="2"/>
  <c r="U77" i="2"/>
  <c r="U69" i="2"/>
  <c r="U61" i="2"/>
  <c r="U53" i="2"/>
  <c r="U45" i="2"/>
  <c r="U37" i="2"/>
  <c r="U29" i="2"/>
  <c r="U21" i="2"/>
  <c r="U13" i="2"/>
  <c r="U8" i="2"/>
  <c r="J12" i="21" l="1"/>
  <c r="O308" i="29"/>
  <c r="R8" i="29" s="1"/>
  <c r="E12" i="21"/>
  <c r="F12" i="21"/>
  <c r="D12" i="21"/>
  <c r="G12" i="21"/>
  <c r="I12" i="21"/>
  <c r="H12" i="21"/>
  <c r="I140" i="21"/>
  <c r="I30" i="21"/>
  <c r="I190" i="21"/>
  <c r="I254" i="21"/>
  <c r="I29" i="21"/>
  <c r="I93" i="21"/>
  <c r="I125" i="21"/>
  <c r="I157" i="21"/>
  <c r="I189" i="21"/>
  <c r="I253" i="21"/>
  <c r="I285" i="21"/>
  <c r="I23" i="21"/>
  <c r="I167" i="21"/>
  <c r="I17" i="21"/>
  <c r="I49" i="21"/>
  <c r="I81" i="21"/>
  <c r="I113" i="21"/>
  <c r="I145" i="21"/>
  <c r="I177" i="21"/>
  <c r="I209" i="21"/>
  <c r="I241" i="21"/>
  <c r="I273" i="21"/>
  <c r="I103" i="21"/>
  <c r="I279" i="21"/>
  <c r="I55" i="21"/>
  <c r="I95" i="21"/>
  <c r="I19" i="21"/>
  <c r="I51" i="21"/>
  <c r="I83" i="21"/>
  <c r="I115" i="21"/>
  <c r="I147" i="21"/>
  <c r="I179" i="21"/>
  <c r="I211" i="21"/>
  <c r="I243" i="21"/>
  <c r="I275" i="21"/>
  <c r="I307" i="21"/>
  <c r="I127" i="21"/>
  <c r="I255" i="21"/>
  <c r="I32" i="21"/>
  <c r="I64" i="21"/>
  <c r="I96" i="21"/>
  <c r="I128" i="21"/>
  <c r="I160" i="21"/>
  <c r="I192" i="21"/>
  <c r="I224" i="21"/>
  <c r="I256" i="21"/>
  <c r="I111" i="21"/>
  <c r="I119" i="21"/>
  <c r="I18" i="21"/>
  <c r="I50" i="21"/>
  <c r="I82" i="21"/>
  <c r="I114" i="21"/>
  <c r="I146" i="21"/>
  <c r="I178" i="21"/>
  <c r="I210" i="21"/>
  <c r="I242" i="21"/>
  <c r="I274" i="21"/>
  <c r="I306" i="21"/>
  <c r="I76" i="21"/>
  <c r="I204" i="21"/>
  <c r="I62" i="21"/>
  <c r="I222" i="21"/>
  <c r="I61" i="21"/>
  <c r="I221" i="21"/>
  <c r="I20" i="21"/>
  <c r="I52" i="21"/>
  <c r="I84" i="21"/>
  <c r="I116" i="21"/>
  <c r="I148" i="21"/>
  <c r="I180" i="21"/>
  <c r="I212" i="21"/>
  <c r="I244" i="21"/>
  <c r="I276" i="21"/>
  <c r="I8" i="21"/>
  <c r="H8" i="21"/>
  <c r="I38" i="21"/>
  <c r="I70" i="21"/>
  <c r="I102" i="21"/>
  <c r="I134" i="21"/>
  <c r="I166" i="21"/>
  <c r="I198" i="21"/>
  <c r="I230" i="21"/>
  <c r="I262" i="21"/>
  <c r="I294" i="21"/>
  <c r="I37" i="21"/>
  <c r="I69" i="21"/>
  <c r="I101" i="21"/>
  <c r="I133" i="21"/>
  <c r="I165" i="21"/>
  <c r="I197" i="21"/>
  <c r="I229" i="21"/>
  <c r="I261" i="21"/>
  <c r="I293" i="21"/>
  <c r="I126" i="21"/>
  <c r="I31" i="21"/>
  <c r="I199" i="21"/>
  <c r="I25" i="21"/>
  <c r="I57" i="21"/>
  <c r="I89" i="21"/>
  <c r="I121" i="21"/>
  <c r="I153" i="21"/>
  <c r="I185" i="21"/>
  <c r="I217" i="21"/>
  <c r="I249" i="21"/>
  <c r="I281" i="21"/>
  <c r="I215" i="21"/>
  <c r="I287" i="21"/>
  <c r="I71" i="21"/>
  <c r="I207" i="21"/>
  <c r="I27" i="21"/>
  <c r="I59" i="21"/>
  <c r="I91" i="21"/>
  <c r="I123" i="21"/>
  <c r="I155" i="21"/>
  <c r="I187" i="21"/>
  <c r="I219" i="21"/>
  <c r="I251" i="21"/>
  <c r="I283" i="21"/>
  <c r="I264" i="21"/>
  <c r="I159" i="21"/>
  <c r="I295" i="21"/>
  <c r="I40" i="21"/>
  <c r="I72" i="21"/>
  <c r="I104" i="21"/>
  <c r="I136" i="21"/>
  <c r="I168" i="21"/>
  <c r="I200" i="21"/>
  <c r="I232" i="21"/>
  <c r="I272" i="21"/>
  <c r="I151" i="21"/>
  <c r="I175" i="21"/>
  <c r="I26" i="21"/>
  <c r="I58" i="21"/>
  <c r="I90" i="21"/>
  <c r="I122" i="21"/>
  <c r="I154" i="21"/>
  <c r="I186" i="21"/>
  <c r="I218" i="21"/>
  <c r="I250" i="21"/>
  <c r="I282" i="21"/>
  <c r="I135" i="21"/>
  <c r="I44" i="21"/>
  <c r="I172" i="21"/>
  <c r="I28" i="21"/>
  <c r="I60" i="21"/>
  <c r="I92" i="21"/>
  <c r="I124" i="21"/>
  <c r="I156" i="21"/>
  <c r="I188" i="21"/>
  <c r="I220" i="21"/>
  <c r="I252" i="21"/>
  <c r="I284" i="21"/>
  <c r="I14" i="21"/>
  <c r="I46" i="21"/>
  <c r="I78" i="21"/>
  <c r="I110" i="21"/>
  <c r="I142" i="21"/>
  <c r="I174" i="21"/>
  <c r="I206" i="21"/>
  <c r="I238" i="21"/>
  <c r="I270" i="21"/>
  <c r="I302" i="21"/>
  <c r="I13" i="21"/>
  <c r="I45" i="21"/>
  <c r="I77" i="21"/>
  <c r="I109" i="21"/>
  <c r="I141" i="21"/>
  <c r="I173" i="21"/>
  <c r="I205" i="21"/>
  <c r="I237" i="21"/>
  <c r="I269" i="21"/>
  <c r="I301" i="21"/>
  <c r="I300" i="21"/>
  <c r="I158" i="21"/>
  <c r="I305" i="21"/>
  <c r="I63" i="21"/>
  <c r="I303" i="21"/>
  <c r="I33" i="21"/>
  <c r="I65" i="21"/>
  <c r="I97" i="21"/>
  <c r="I129" i="21"/>
  <c r="I161" i="21"/>
  <c r="I193" i="21"/>
  <c r="I225" i="21"/>
  <c r="I257" i="21"/>
  <c r="I289" i="21"/>
  <c r="I247" i="21"/>
  <c r="I79" i="21"/>
  <c r="I263" i="21"/>
  <c r="I35" i="21"/>
  <c r="I67" i="21"/>
  <c r="I99" i="21"/>
  <c r="I131" i="21"/>
  <c r="I163" i="21"/>
  <c r="I195" i="21"/>
  <c r="I227" i="21"/>
  <c r="I259" i="21"/>
  <c r="I291" i="21"/>
  <c r="I280" i="21"/>
  <c r="I183" i="21"/>
  <c r="I16" i="21"/>
  <c r="I48" i="21"/>
  <c r="I80" i="21"/>
  <c r="I112" i="21"/>
  <c r="I144" i="21"/>
  <c r="I176" i="21"/>
  <c r="I208" i="21"/>
  <c r="I240" i="21"/>
  <c r="I296" i="21"/>
  <c r="I231" i="21"/>
  <c r="I34" i="21"/>
  <c r="I66" i="21"/>
  <c r="I98" i="21"/>
  <c r="I130" i="21"/>
  <c r="I162" i="21"/>
  <c r="I194" i="21"/>
  <c r="I226" i="21"/>
  <c r="I258" i="21"/>
  <c r="I290" i="21"/>
  <c r="I191" i="21"/>
  <c r="I108" i="21"/>
  <c r="I236" i="21"/>
  <c r="I286" i="21"/>
  <c r="I36" i="21"/>
  <c r="I68" i="21"/>
  <c r="I100" i="21"/>
  <c r="I132" i="21"/>
  <c r="I164" i="21"/>
  <c r="I196" i="21"/>
  <c r="I228" i="21"/>
  <c r="I260" i="21"/>
  <c r="I292" i="21"/>
  <c r="I22" i="21"/>
  <c r="I54" i="21"/>
  <c r="I86" i="21"/>
  <c r="I118" i="21"/>
  <c r="I150" i="21"/>
  <c r="I182" i="21"/>
  <c r="I214" i="21"/>
  <c r="I246" i="21"/>
  <c r="I278" i="21"/>
  <c r="I21" i="21"/>
  <c r="I53" i="21"/>
  <c r="I85" i="21"/>
  <c r="I117" i="21"/>
  <c r="I149" i="21"/>
  <c r="I181" i="21"/>
  <c r="I213" i="21"/>
  <c r="I245" i="21"/>
  <c r="I277" i="21"/>
  <c r="I268" i="21"/>
  <c r="I94" i="21"/>
  <c r="I15" i="21"/>
  <c r="I143" i="21"/>
  <c r="I9" i="21"/>
  <c r="I41" i="21"/>
  <c r="I73" i="21"/>
  <c r="I105" i="21"/>
  <c r="I137" i="21"/>
  <c r="I169" i="21"/>
  <c r="I201" i="21"/>
  <c r="I233" i="21"/>
  <c r="I265" i="21"/>
  <c r="I297" i="21"/>
  <c r="I271" i="21"/>
  <c r="I47" i="21"/>
  <c r="I87" i="21"/>
  <c r="I11" i="21"/>
  <c r="I43" i="21"/>
  <c r="I75" i="21"/>
  <c r="I107" i="21"/>
  <c r="I139" i="21"/>
  <c r="I171" i="21"/>
  <c r="I203" i="21"/>
  <c r="I235" i="21"/>
  <c r="I267" i="21"/>
  <c r="I299" i="21"/>
  <c r="I288" i="21"/>
  <c r="I223" i="21"/>
  <c r="I24" i="21"/>
  <c r="I56" i="21"/>
  <c r="I88" i="21"/>
  <c r="I120" i="21"/>
  <c r="I152" i="21"/>
  <c r="I184" i="21"/>
  <c r="I216" i="21"/>
  <c r="I248" i="21"/>
  <c r="I304" i="21"/>
  <c r="I39" i="21"/>
  <c r="I10" i="21"/>
  <c r="I42" i="21"/>
  <c r="I74" i="21"/>
  <c r="I106" i="21"/>
  <c r="I138" i="21"/>
  <c r="I170" i="21"/>
  <c r="I202" i="21"/>
  <c r="I234" i="21"/>
  <c r="I266" i="21"/>
  <c r="I298" i="21"/>
  <c r="I239" i="21"/>
  <c r="F306" i="21"/>
  <c r="E306" i="21"/>
  <c r="D306" i="21"/>
  <c r="G306" i="21"/>
  <c r="C308" i="29"/>
  <c r="U31" i="45" s="1"/>
  <c r="S12" i="45" l="1"/>
  <c r="L12" i="21"/>
  <c r="Q8" i="29"/>
  <c r="P12" i="29"/>
  <c r="R12" i="29"/>
  <c r="R44" i="29"/>
  <c r="R76" i="29"/>
  <c r="R108" i="29"/>
  <c r="R140" i="29"/>
  <c r="R172" i="29"/>
  <c r="R204" i="29"/>
  <c r="R236" i="29"/>
  <c r="R268" i="29"/>
  <c r="R300" i="29"/>
  <c r="R29" i="29"/>
  <c r="R61" i="29"/>
  <c r="R93" i="29"/>
  <c r="R125" i="29"/>
  <c r="R157" i="29"/>
  <c r="R189" i="29"/>
  <c r="R221" i="29"/>
  <c r="R253" i="29"/>
  <c r="R285" i="29"/>
  <c r="R18" i="29"/>
  <c r="R50" i="29"/>
  <c r="R82" i="29"/>
  <c r="R114" i="29"/>
  <c r="R146" i="29"/>
  <c r="R178" i="29"/>
  <c r="R210" i="29"/>
  <c r="R242" i="29"/>
  <c r="R274" i="29"/>
  <c r="R306" i="29"/>
  <c r="R39" i="29"/>
  <c r="R71" i="29"/>
  <c r="R103" i="29"/>
  <c r="R135" i="29"/>
  <c r="R167" i="29"/>
  <c r="R199" i="29"/>
  <c r="R231" i="29"/>
  <c r="R263" i="29"/>
  <c r="R295" i="29"/>
  <c r="R136" i="29"/>
  <c r="R57" i="29"/>
  <c r="R281" i="29"/>
  <c r="R174" i="29"/>
  <c r="R99" i="29"/>
  <c r="R16" i="29"/>
  <c r="R48" i="29"/>
  <c r="R80" i="29"/>
  <c r="R112" i="29"/>
  <c r="R144" i="29"/>
  <c r="R176" i="29"/>
  <c r="R208" i="29"/>
  <c r="R240" i="29"/>
  <c r="R272" i="29"/>
  <c r="R304" i="29"/>
  <c r="R33" i="29"/>
  <c r="R65" i="29"/>
  <c r="R97" i="29"/>
  <c r="R129" i="29"/>
  <c r="R161" i="29"/>
  <c r="R193" i="29"/>
  <c r="R225" i="29"/>
  <c r="R257" i="29"/>
  <c r="R289" i="29"/>
  <c r="R22" i="29"/>
  <c r="R54" i="29"/>
  <c r="R86" i="29"/>
  <c r="R118" i="29"/>
  <c r="R150" i="29"/>
  <c r="R182" i="29"/>
  <c r="R214" i="29"/>
  <c r="R246" i="29"/>
  <c r="R278" i="29"/>
  <c r="R11" i="29"/>
  <c r="R43" i="29"/>
  <c r="R75" i="29"/>
  <c r="R107" i="29"/>
  <c r="R139" i="29"/>
  <c r="R171" i="29"/>
  <c r="R203" i="29"/>
  <c r="R235" i="29"/>
  <c r="R267" i="29"/>
  <c r="R299" i="29"/>
  <c r="R104" i="29"/>
  <c r="R89" i="29"/>
  <c r="R14" i="29"/>
  <c r="R238" i="29"/>
  <c r="R163" i="29"/>
  <c r="R20" i="29"/>
  <c r="R52" i="29"/>
  <c r="R84" i="29"/>
  <c r="R116" i="29"/>
  <c r="R148" i="29"/>
  <c r="R180" i="29"/>
  <c r="R212" i="29"/>
  <c r="R244" i="29"/>
  <c r="R276" i="29"/>
  <c r="R37" i="29"/>
  <c r="R69" i="29"/>
  <c r="R101" i="29"/>
  <c r="R133" i="29"/>
  <c r="R165" i="29"/>
  <c r="R197" i="29"/>
  <c r="R229" i="29"/>
  <c r="R261" i="29"/>
  <c r="R293" i="29"/>
  <c r="R26" i="29"/>
  <c r="R58" i="29"/>
  <c r="R90" i="29"/>
  <c r="R122" i="29"/>
  <c r="R154" i="29"/>
  <c r="R186" i="29"/>
  <c r="R218" i="29"/>
  <c r="R250" i="29"/>
  <c r="R282" i="29"/>
  <c r="R15" i="29"/>
  <c r="R47" i="29"/>
  <c r="R79" i="29"/>
  <c r="R111" i="29"/>
  <c r="R143" i="29"/>
  <c r="R175" i="29"/>
  <c r="R207" i="29"/>
  <c r="R239" i="29"/>
  <c r="R271" i="29"/>
  <c r="R303" i="29"/>
  <c r="R168" i="29"/>
  <c r="R25" i="29"/>
  <c r="R249" i="29"/>
  <c r="R142" i="29"/>
  <c r="R67" i="29"/>
  <c r="R291" i="29"/>
  <c r="R24" i="29"/>
  <c r="R56" i="29"/>
  <c r="R88" i="29"/>
  <c r="R120" i="29"/>
  <c r="R152" i="29"/>
  <c r="R184" i="29"/>
  <c r="R216" i="29"/>
  <c r="R248" i="29"/>
  <c r="R280" i="29"/>
  <c r="R9" i="29"/>
  <c r="R41" i="29"/>
  <c r="R73" i="29"/>
  <c r="R105" i="29"/>
  <c r="R137" i="29"/>
  <c r="R169" i="29"/>
  <c r="R201" i="29"/>
  <c r="R233" i="29"/>
  <c r="R265" i="29"/>
  <c r="R297" i="29"/>
  <c r="R30" i="29"/>
  <c r="R62" i="29"/>
  <c r="R94" i="29"/>
  <c r="R126" i="29"/>
  <c r="R158" i="29"/>
  <c r="R190" i="29"/>
  <c r="R222" i="29"/>
  <c r="R254" i="29"/>
  <c r="R286" i="29"/>
  <c r="R19" i="29"/>
  <c r="R51" i="29"/>
  <c r="R83" i="29"/>
  <c r="R115" i="29"/>
  <c r="R147" i="29"/>
  <c r="R179" i="29"/>
  <c r="R211" i="29"/>
  <c r="R243" i="29"/>
  <c r="R275" i="29"/>
  <c r="R307" i="29"/>
  <c r="R200" i="29"/>
  <c r="R264" i="29"/>
  <c r="R153" i="29"/>
  <c r="R78" i="29"/>
  <c r="R302" i="29"/>
  <c r="R227" i="29"/>
  <c r="R28" i="29"/>
  <c r="R60" i="29"/>
  <c r="R92" i="29"/>
  <c r="R124" i="29"/>
  <c r="R156" i="29"/>
  <c r="R188" i="29"/>
  <c r="R220" i="29"/>
  <c r="R252" i="29"/>
  <c r="R284" i="29"/>
  <c r="R13" i="29"/>
  <c r="R45" i="29"/>
  <c r="R77" i="29"/>
  <c r="R109" i="29"/>
  <c r="R141" i="29"/>
  <c r="R173" i="29"/>
  <c r="R205" i="29"/>
  <c r="R237" i="29"/>
  <c r="R269" i="29"/>
  <c r="R301" i="29"/>
  <c r="R34" i="29"/>
  <c r="R66" i="29"/>
  <c r="R98" i="29"/>
  <c r="R130" i="29"/>
  <c r="R162" i="29"/>
  <c r="R194" i="29"/>
  <c r="R226" i="29"/>
  <c r="R258" i="29"/>
  <c r="R290" i="29"/>
  <c r="R23" i="29"/>
  <c r="R55" i="29"/>
  <c r="R87" i="29"/>
  <c r="R119" i="29"/>
  <c r="R151" i="29"/>
  <c r="R183" i="29"/>
  <c r="R215" i="29"/>
  <c r="R247" i="29"/>
  <c r="R279" i="29"/>
  <c r="R40" i="29"/>
  <c r="R217" i="29"/>
  <c r="R206" i="29"/>
  <c r="R131" i="29"/>
  <c r="R32" i="29"/>
  <c r="R64" i="29"/>
  <c r="R96" i="29"/>
  <c r="R128" i="29"/>
  <c r="R160" i="29"/>
  <c r="R192" i="29"/>
  <c r="R224" i="29"/>
  <c r="R256" i="29"/>
  <c r="R288" i="29"/>
  <c r="R17" i="29"/>
  <c r="R49" i="29"/>
  <c r="R81" i="29"/>
  <c r="R113" i="29"/>
  <c r="R145" i="29"/>
  <c r="R177" i="29"/>
  <c r="R209" i="29"/>
  <c r="R241" i="29"/>
  <c r="R273" i="29"/>
  <c r="R305" i="29"/>
  <c r="R38" i="29"/>
  <c r="R70" i="29"/>
  <c r="R102" i="29"/>
  <c r="R134" i="29"/>
  <c r="R166" i="29"/>
  <c r="R198" i="29"/>
  <c r="R230" i="29"/>
  <c r="R262" i="29"/>
  <c r="R294" i="29"/>
  <c r="R27" i="29"/>
  <c r="R59" i="29"/>
  <c r="R91" i="29"/>
  <c r="R123" i="29"/>
  <c r="R155" i="29"/>
  <c r="R187" i="29"/>
  <c r="R219" i="29"/>
  <c r="R251" i="29"/>
  <c r="R283" i="29"/>
  <c r="R72" i="29"/>
  <c r="R121" i="29"/>
  <c r="R110" i="29"/>
  <c r="R35" i="29"/>
  <c r="R259" i="29"/>
  <c r="R36" i="29"/>
  <c r="R68" i="29"/>
  <c r="R100" i="29"/>
  <c r="R132" i="29"/>
  <c r="R164" i="29"/>
  <c r="R196" i="29"/>
  <c r="R228" i="29"/>
  <c r="R260" i="29"/>
  <c r="R292" i="29"/>
  <c r="R21" i="29"/>
  <c r="R53" i="29"/>
  <c r="R85" i="29"/>
  <c r="R117" i="29"/>
  <c r="R149" i="29"/>
  <c r="R181" i="29"/>
  <c r="R213" i="29"/>
  <c r="R245" i="29"/>
  <c r="R277" i="29"/>
  <c r="R10" i="29"/>
  <c r="R42" i="29"/>
  <c r="R74" i="29"/>
  <c r="R106" i="29"/>
  <c r="R138" i="29"/>
  <c r="R170" i="29"/>
  <c r="R202" i="29"/>
  <c r="R234" i="29"/>
  <c r="R266" i="29"/>
  <c r="R298" i="29"/>
  <c r="R31" i="29"/>
  <c r="R63" i="29"/>
  <c r="R95" i="29"/>
  <c r="R127" i="29"/>
  <c r="R159" i="29"/>
  <c r="R191" i="29"/>
  <c r="R223" i="29"/>
  <c r="R255" i="29"/>
  <c r="R287" i="29"/>
  <c r="R232" i="29"/>
  <c r="R296" i="29"/>
  <c r="R185" i="29"/>
  <c r="R46" i="29"/>
  <c r="R270" i="29"/>
  <c r="R195" i="29"/>
  <c r="Q17" i="29"/>
  <c r="Q81" i="29"/>
  <c r="Q145" i="29"/>
  <c r="Q209" i="29"/>
  <c r="Q273" i="29"/>
  <c r="Q34" i="29"/>
  <c r="Q122" i="29"/>
  <c r="Q75" i="29"/>
  <c r="Q28" i="29"/>
  <c r="Q92" i="29"/>
  <c r="Q156" i="29"/>
  <c r="Q220" i="29"/>
  <c r="Q284" i="29"/>
  <c r="Q178" i="29"/>
  <c r="Q251" i="29"/>
  <c r="Q61" i="29"/>
  <c r="Q125" i="29"/>
  <c r="Q189" i="29"/>
  <c r="Q253" i="29"/>
  <c r="Q238" i="29"/>
  <c r="Q234" i="29"/>
  <c r="Q283" i="29"/>
  <c r="Q70" i="29"/>
  <c r="Q134" i="29"/>
  <c r="Q198" i="29"/>
  <c r="Q256" i="29"/>
  <c r="Q19" i="29"/>
  <c r="Q31" i="29"/>
  <c r="Q95" i="29"/>
  <c r="Q159" i="29"/>
  <c r="Q223" i="29"/>
  <c r="Q295" i="29"/>
  <c r="Q35" i="29"/>
  <c r="Q16" i="29"/>
  <c r="Q80" i="29"/>
  <c r="Q144" i="29"/>
  <c r="Q208" i="29"/>
  <c r="Q171" i="29"/>
  <c r="Q25" i="29"/>
  <c r="Q89" i="29"/>
  <c r="Q153" i="29"/>
  <c r="Q217" i="29"/>
  <c r="Q281" i="29"/>
  <c r="Q42" i="29"/>
  <c r="Q138" i="29"/>
  <c r="Q115" i="29"/>
  <c r="Q36" i="29"/>
  <c r="Q100" i="29"/>
  <c r="Q164" i="29"/>
  <c r="Q228" i="29"/>
  <c r="Q292" i="29"/>
  <c r="Q218" i="29"/>
  <c r="Q299" i="29"/>
  <c r="Q69" i="29"/>
  <c r="Q133" i="29"/>
  <c r="Q197" i="29"/>
  <c r="Q261" i="29"/>
  <c r="Q254" i="29"/>
  <c r="Q274" i="29"/>
  <c r="Q14" i="29"/>
  <c r="Q78" i="29"/>
  <c r="Q142" i="29"/>
  <c r="Q206" i="29"/>
  <c r="Q296" i="29"/>
  <c r="Q83" i="29"/>
  <c r="Q39" i="29"/>
  <c r="Q103" i="29"/>
  <c r="Q167" i="29"/>
  <c r="Q231" i="29"/>
  <c r="Q264" i="29"/>
  <c r="Q59" i="29"/>
  <c r="Q24" i="29"/>
  <c r="Q88" i="29"/>
  <c r="Q152" i="29"/>
  <c r="Q216" i="29"/>
  <c r="Q219" i="29"/>
  <c r="Q201" i="29"/>
  <c r="Q181" i="29"/>
  <c r="Q190" i="29"/>
  <c r="Q87" i="29"/>
  <c r="Q72" i="29"/>
  <c r="Q33" i="29"/>
  <c r="Q97" i="29"/>
  <c r="Q161" i="29"/>
  <c r="Q225" i="29"/>
  <c r="Q289" i="29"/>
  <c r="Q50" i="29"/>
  <c r="Q146" i="29"/>
  <c r="Q155" i="29"/>
  <c r="Q44" i="29"/>
  <c r="Q108" i="29"/>
  <c r="Q172" i="29"/>
  <c r="Q236" i="29"/>
  <c r="Q300" i="29"/>
  <c r="Q266" i="29"/>
  <c r="Q13" i="29"/>
  <c r="Q77" i="29"/>
  <c r="Q141" i="29"/>
  <c r="Q205" i="29"/>
  <c r="Q269" i="29"/>
  <c r="Q270" i="29"/>
  <c r="Q43" i="29"/>
  <c r="Q22" i="29"/>
  <c r="Q86" i="29"/>
  <c r="Q150" i="29"/>
  <c r="Q222" i="29"/>
  <c r="Q106" i="29"/>
  <c r="Q139" i="29"/>
  <c r="Q47" i="29"/>
  <c r="Q111" i="29"/>
  <c r="Q175" i="29"/>
  <c r="Q239" i="29"/>
  <c r="Q304" i="29"/>
  <c r="Q99" i="29"/>
  <c r="Q32" i="29"/>
  <c r="Q96" i="29"/>
  <c r="Q160" i="29"/>
  <c r="Q224" i="29"/>
  <c r="Q275" i="29"/>
  <c r="Q114" i="29"/>
  <c r="Q104" i="29"/>
  <c r="Q232" i="29"/>
  <c r="Q49" i="29"/>
  <c r="Q113" i="29"/>
  <c r="Q177" i="29"/>
  <c r="Q241" i="29"/>
  <c r="Q66" i="29"/>
  <c r="Q202" i="29"/>
  <c r="Q235" i="29"/>
  <c r="Q60" i="29"/>
  <c r="Q124" i="29"/>
  <c r="Q188" i="29"/>
  <c r="Q252" i="29"/>
  <c r="Q287" i="29"/>
  <c r="Q11" i="29"/>
  <c r="Q29" i="29"/>
  <c r="Q157" i="29"/>
  <c r="Q221" i="29"/>
  <c r="Q285" i="29"/>
  <c r="Q107" i="29"/>
  <c r="Q38" i="29"/>
  <c r="Q166" i="29"/>
  <c r="Q186" i="29"/>
  <c r="Q63" i="29"/>
  <c r="Q127" i="29"/>
  <c r="Q255" i="29"/>
  <c r="Q163" i="29"/>
  <c r="Q112" i="29"/>
  <c r="Q240" i="29"/>
  <c r="Q15" i="29"/>
  <c r="Q143" i="29"/>
  <c r="Q258" i="29"/>
  <c r="Q64" i="29"/>
  <c r="Q192" i="29"/>
  <c r="Q9" i="29"/>
  <c r="Q26" i="29"/>
  <c r="Q27" i="29"/>
  <c r="Q148" i="29"/>
  <c r="Q276" i="29"/>
  <c r="Q53" i="29"/>
  <c r="Q214" i="29"/>
  <c r="Q243" i="29"/>
  <c r="Q294" i="29"/>
  <c r="Q151" i="29"/>
  <c r="Q306" i="29"/>
  <c r="Q200" i="29"/>
  <c r="Q41" i="29"/>
  <c r="Q105" i="29"/>
  <c r="Q169" i="29"/>
  <c r="Q233" i="29"/>
  <c r="Q297" i="29"/>
  <c r="Q58" i="29"/>
  <c r="Q162" i="29"/>
  <c r="Q203" i="29"/>
  <c r="Q52" i="29"/>
  <c r="Q116" i="29"/>
  <c r="Q180" i="29"/>
  <c r="Q244" i="29"/>
  <c r="Q298" i="29"/>
  <c r="Q21" i="29"/>
  <c r="Q85" i="29"/>
  <c r="Q149" i="29"/>
  <c r="Q213" i="29"/>
  <c r="Q277" i="29"/>
  <c r="Q286" i="29"/>
  <c r="Q67" i="29"/>
  <c r="Q30" i="29"/>
  <c r="Q94" i="29"/>
  <c r="Q158" i="29"/>
  <c r="Q230" i="29"/>
  <c r="Q154" i="29"/>
  <c r="Q187" i="29"/>
  <c r="Q55" i="29"/>
  <c r="Q119" i="29"/>
  <c r="Q183" i="29"/>
  <c r="Q247" i="29"/>
  <c r="Q123" i="29"/>
  <c r="Q40" i="29"/>
  <c r="Q168" i="29"/>
  <c r="Q305" i="29"/>
  <c r="Q93" i="29"/>
  <c r="Q302" i="29"/>
  <c r="Q102" i="29"/>
  <c r="Q246" i="29"/>
  <c r="Q227" i="29"/>
  <c r="Q191" i="29"/>
  <c r="Q170" i="29"/>
  <c r="Q48" i="29"/>
  <c r="Q176" i="29"/>
  <c r="Q271" i="29"/>
  <c r="Q137" i="29"/>
  <c r="Q84" i="29"/>
  <c r="Q195" i="29"/>
  <c r="Q245" i="29"/>
  <c r="Q62" i="29"/>
  <c r="Q23" i="29"/>
  <c r="Q279" i="29"/>
  <c r="Q136" i="29"/>
  <c r="Q57" i="29"/>
  <c r="Q121" i="29"/>
  <c r="Q185" i="29"/>
  <c r="Q249" i="29"/>
  <c r="Q10" i="29"/>
  <c r="Q74" i="29"/>
  <c r="Q242" i="29"/>
  <c r="Q267" i="29"/>
  <c r="Q68" i="29"/>
  <c r="Q132" i="29"/>
  <c r="Q196" i="29"/>
  <c r="Q260" i="29"/>
  <c r="Q272" i="29"/>
  <c r="Q91" i="29"/>
  <c r="Q37" i="29"/>
  <c r="Q101" i="29"/>
  <c r="Q165" i="29"/>
  <c r="Q229" i="29"/>
  <c r="Q293" i="29"/>
  <c r="Q303" i="29"/>
  <c r="Q131" i="29"/>
  <c r="Q46" i="29"/>
  <c r="Q110" i="29"/>
  <c r="Q174" i="29"/>
  <c r="Q262" i="29"/>
  <c r="Q226" i="29"/>
  <c r="Q291" i="29"/>
  <c r="Q71" i="29"/>
  <c r="Q135" i="29"/>
  <c r="Q199" i="29"/>
  <c r="Q263" i="29"/>
  <c r="Q210" i="29"/>
  <c r="Q211" i="29"/>
  <c r="Q56" i="29"/>
  <c r="Q120" i="29"/>
  <c r="Q184" i="29"/>
  <c r="Q248" i="29"/>
  <c r="Q65" i="29"/>
  <c r="Q129" i="29"/>
  <c r="Q193" i="29"/>
  <c r="Q257" i="29"/>
  <c r="Q18" i="29"/>
  <c r="Q82" i="29"/>
  <c r="Q282" i="29"/>
  <c r="Q12" i="29"/>
  <c r="Q76" i="29"/>
  <c r="Q140" i="29"/>
  <c r="Q204" i="29"/>
  <c r="Q268" i="29"/>
  <c r="Q288" i="29"/>
  <c r="Q147" i="29"/>
  <c r="Q45" i="29"/>
  <c r="Q109" i="29"/>
  <c r="Q173" i="29"/>
  <c r="Q237" i="29"/>
  <c r="Q301" i="29"/>
  <c r="Q130" i="29"/>
  <c r="Q179" i="29"/>
  <c r="Q54" i="29"/>
  <c r="Q118" i="29"/>
  <c r="Q182" i="29"/>
  <c r="Q278" i="29"/>
  <c r="Q250" i="29"/>
  <c r="Q79" i="29"/>
  <c r="Q207" i="29"/>
  <c r="Q259" i="29"/>
  <c r="Q128" i="29"/>
  <c r="Q280" i="29"/>
  <c r="Q73" i="29"/>
  <c r="Q265" i="29"/>
  <c r="Q90" i="29"/>
  <c r="Q20" i="29"/>
  <c r="Q212" i="29"/>
  <c r="Q98" i="29"/>
  <c r="Q117" i="29"/>
  <c r="Q194" i="29"/>
  <c r="Q126" i="29"/>
  <c r="Q290" i="29"/>
  <c r="Q215" i="29"/>
  <c r="Q307" i="29"/>
  <c r="Q51" i="29"/>
  <c r="I308" i="21"/>
  <c r="E27" i="57" l="1"/>
  <c r="H27" i="57" s="1"/>
  <c r="R308" i="29"/>
  <c r="R311" i="29" s="1"/>
  <c r="Q308" i="29"/>
  <c r="Q311" i="29" s="1"/>
  <c r="J8" i="21" l="1"/>
  <c r="G8" i="21"/>
  <c r="D8" i="21"/>
  <c r="F8" i="21"/>
  <c r="E8" i="21"/>
  <c r="J9" i="21"/>
  <c r="H9" i="21"/>
  <c r="F9" i="21"/>
  <c r="D9" i="21"/>
  <c r="G9" i="21"/>
  <c r="E9" i="21"/>
  <c r="F10" i="21"/>
  <c r="H10" i="21"/>
  <c r="G10" i="21"/>
  <c r="J10" i="21"/>
  <c r="D10" i="21"/>
  <c r="E10" i="21"/>
  <c r="H11" i="21"/>
  <c r="F11" i="21"/>
  <c r="E11" i="21"/>
  <c r="J11" i="21"/>
  <c r="D11" i="21"/>
  <c r="G11" i="21"/>
  <c r="L11" i="21" l="1"/>
  <c r="L8" i="21"/>
  <c r="L9" i="21"/>
  <c r="L10" i="21"/>
  <c r="P10" i="29"/>
  <c r="P11" i="29"/>
  <c r="F8" i="9" l="1"/>
  <c r="H9" i="55"/>
  <c r="H12" i="55"/>
  <c r="H11" i="55"/>
  <c r="H10" i="55"/>
  <c r="F10" i="9" l="1"/>
  <c r="F9" i="9"/>
  <c r="F12" i="9"/>
  <c r="H59" i="55" l="1"/>
  <c r="H217" i="55"/>
  <c r="H20" i="55"/>
  <c r="H30" i="55"/>
  <c r="H38" i="55"/>
  <c r="G267" i="21"/>
  <c r="F61" i="21"/>
  <c r="H62" i="55"/>
  <c r="H78" i="55"/>
  <c r="H177" i="55"/>
  <c r="H241" i="55"/>
  <c r="H22" i="55"/>
  <c r="H18" i="55"/>
  <c r="H57" i="55"/>
  <c r="H94" i="55"/>
  <c r="H137" i="55"/>
  <c r="H28" i="55"/>
  <c r="H36" i="55"/>
  <c r="H31" i="55"/>
  <c r="H17" i="55"/>
  <c r="H88" i="55"/>
  <c r="H139" i="55"/>
  <c r="H275" i="55"/>
  <c r="H182" i="55"/>
  <c r="H124" i="55"/>
  <c r="H196" i="55"/>
  <c r="H220" i="55"/>
  <c r="H167" i="55"/>
  <c r="H263" i="55"/>
  <c r="H258" i="55"/>
  <c r="H306" i="55"/>
  <c r="H157" i="55"/>
  <c r="H277" i="55"/>
  <c r="F78" i="9" l="1"/>
  <c r="F94" i="9"/>
  <c r="F117" i="21"/>
  <c r="H265" i="55"/>
  <c r="H201" i="55"/>
  <c r="J27" i="21"/>
  <c r="H47" i="55"/>
  <c r="H271" i="55"/>
  <c r="H143" i="55"/>
  <c r="H85" i="55"/>
  <c r="H261" i="55"/>
  <c r="H197" i="55"/>
  <c r="H252" i="55"/>
  <c r="H188" i="55"/>
  <c r="H83" i="55"/>
  <c r="H171" i="55"/>
  <c r="H102" i="55"/>
  <c r="C308" i="2"/>
  <c r="H156" i="55"/>
  <c r="H293" i="55"/>
  <c r="H237" i="55"/>
  <c r="H173" i="55"/>
  <c r="H133" i="55"/>
  <c r="H106" i="55"/>
  <c r="H298" i="55"/>
  <c r="H210" i="55"/>
  <c r="H186" i="55"/>
  <c r="H146" i="55"/>
  <c r="H87" i="55"/>
  <c r="H108" i="55"/>
  <c r="H300" i="55"/>
  <c r="H140" i="55"/>
  <c r="H72" i="55"/>
  <c r="H74" i="55"/>
  <c r="H13" i="55"/>
  <c r="D63" i="21"/>
  <c r="G63" i="21"/>
  <c r="J63" i="21"/>
  <c r="H63" i="21"/>
  <c r="F63" i="21"/>
  <c r="E63" i="21"/>
  <c r="D47" i="21"/>
  <c r="G47" i="21"/>
  <c r="F47" i="21"/>
  <c r="E47" i="21"/>
  <c r="J47" i="21"/>
  <c r="H47" i="21"/>
  <c r="H109" i="55"/>
  <c r="H221" i="55"/>
  <c r="H282" i="55"/>
  <c r="H122" i="55"/>
  <c r="H296" i="55"/>
  <c r="H280" i="55"/>
  <c r="H264" i="55"/>
  <c r="H248" i="55"/>
  <c r="H232" i="55"/>
  <c r="H216" i="55"/>
  <c r="H200" i="55"/>
  <c r="H184" i="55"/>
  <c r="H168" i="55"/>
  <c r="H152" i="55"/>
  <c r="H136" i="55"/>
  <c r="H120" i="55"/>
  <c r="H101" i="55"/>
  <c r="H213" i="55"/>
  <c r="H82" i="55"/>
  <c r="H274" i="55"/>
  <c r="H234" i="55"/>
  <c r="H170" i="55"/>
  <c r="H79" i="55"/>
  <c r="H239" i="55"/>
  <c r="H175" i="55"/>
  <c r="H236" i="55"/>
  <c r="H172" i="55"/>
  <c r="H294" i="55"/>
  <c r="H230" i="55"/>
  <c r="H166" i="55"/>
  <c r="H253" i="55"/>
  <c r="H189" i="55"/>
  <c r="H149" i="55"/>
  <c r="H250" i="55"/>
  <c r="H194" i="55"/>
  <c r="H92" i="55"/>
  <c r="H243" i="55"/>
  <c r="H117" i="55"/>
  <c r="H229" i="55"/>
  <c r="H165" i="55"/>
  <c r="H125" i="55"/>
  <c r="H98" i="55"/>
  <c r="H290" i="55"/>
  <c r="H303" i="55"/>
  <c r="H113" i="55"/>
  <c r="H278" i="55"/>
  <c r="H214" i="55"/>
  <c r="H153" i="55"/>
  <c r="H19" i="55"/>
  <c r="H71" i="55"/>
  <c r="H147" i="55"/>
  <c r="H93" i="55"/>
  <c r="H301" i="55"/>
  <c r="H285" i="55"/>
  <c r="H269" i="55"/>
  <c r="H205" i="55"/>
  <c r="H266" i="55"/>
  <c r="H138" i="55"/>
  <c r="H111" i="55"/>
  <c r="H44" i="55"/>
  <c r="H90" i="55"/>
  <c r="H207" i="55"/>
  <c r="H304" i="55"/>
  <c r="H288" i="55"/>
  <c r="H272" i="55"/>
  <c r="H256" i="55"/>
  <c r="H240" i="55"/>
  <c r="H224" i="55"/>
  <c r="H208" i="55"/>
  <c r="H192" i="55"/>
  <c r="H176" i="55"/>
  <c r="H160" i="55"/>
  <c r="H144" i="55"/>
  <c r="H128" i="55"/>
  <c r="H245" i="55"/>
  <c r="H181" i="55"/>
  <c r="H141" i="55"/>
  <c r="H114" i="55"/>
  <c r="H242" i="55"/>
  <c r="H202" i="55"/>
  <c r="H178" i="55"/>
  <c r="H130" i="55"/>
  <c r="H103" i="55"/>
  <c r="H255" i="55"/>
  <c r="H191" i="55"/>
  <c r="H127" i="55"/>
  <c r="H67" i="55"/>
  <c r="H226" i="55"/>
  <c r="H162" i="55"/>
  <c r="H295" i="55"/>
  <c r="H231" i="55"/>
  <c r="H84" i="55"/>
  <c r="H292" i="55"/>
  <c r="H228" i="55"/>
  <c r="H164" i="55"/>
  <c r="H132" i="55"/>
  <c r="H105" i="55"/>
  <c r="H270" i="55"/>
  <c r="H206" i="55"/>
  <c r="H142" i="55"/>
  <c r="H211" i="55"/>
  <c r="H123" i="55"/>
  <c r="H104" i="55"/>
  <c r="H129" i="55"/>
  <c r="H48" i="55"/>
  <c r="H273" i="55"/>
  <c r="H50" i="55"/>
  <c r="H121" i="55"/>
  <c r="H110" i="55"/>
  <c r="H289" i="55"/>
  <c r="H161" i="55"/>
  <c r="H25" i="55"/>
  <c r="H268" i="55"/>
  <c r="H204" i="55"/>
  <c r="H81" i="55"/>
  <c r="H246" i="55"/>
  <c r="H118" i="55"/>
  <c r="E12" i="57" s="1"/>
  <c r="H12" i="57" s="1"/>
  <c r="H99" i="55"/>
  <c r="H291" i="55"/>
  <c r="H259" i="55"/>
  <c r="H187" i="55"/>
  <c r="H24" i="55"/>
  <c r="H297" i="55"/>
  <c r="H169" i="55"/>
  <c r="H75" i="55"/>
  <c r="H26" i="55"/>
  <c r="H23" i="55"/>
  <c r="H60" i="55"/>
  <c r="H33" i="55"/>
  <c r="H54" i="55"/>
  <c r="D17" i="21"/>
  <c r="J17" i="21"/>
  <c r="F17" i="21"/>
  <c r="H17" i="21"/>
  <c r="G17" i="21"/>
  <c r="E17" i="21"/>
  <c r="D45" i="21"/>
  <c r="J45" i="21"/>
  <c r="G45" i="21"/>
  <c r="F45" i="21"/>
  <c r="E45" i="21"/>
  <c r="H45" i="21"/>
  <c r="H247" i="55"/>
  <c r="H183" i="55"/>
  <c r="H119" i="55"/>
  <c r="H100" i="55"/>
  <c r="H244" i="55"/>
  <c r="H180" i="55"/>
  <c r="H148" i="55"/>
  <c r="H286" i="55"/>
  <c r="H222" i="55"/>
  <c r="H158" i="55"/>
  <c r="H235" i="55"/>
  <c r="H163" i="55"/>
  <c r="H257" i="55"/>
  <c r="H64" i="55"/>
  <c r="H69" i="55"/>
  <c r="H53" i="55"/>
  <c r="H37" i="55"/>
  <c r="H35" i="55"/>
  <c r="H66" i="55"/>
  <c r="H249" i="55"/>
  <c r="H63" i="55"/>
  <c r="D72" i="21"/>
  <c r="J72" i="21"/>
  <c r="G72" i="21"/>
  <c r="F72" i="21"/>
  <c r="E72" i="21"/>
  <c r="D56" i="21"/>
  <c r="F56" i="21"/>
  <c r="G56" i="21"/>
  <c r="J56" i="21"/>
  <c r="E56" i="21"/>
  <c r="H56" i="21"/>
  <c r="D267" i="21"/>
  <c r="E267" i="21"/>
  <c r="J267" i="21"/>
  <c r="F267" i="21"/>
  <c r="H267" i="21"/>
  <c r="D139" i="21"/>
  <c r="F139" i="21"/>
  <c r="J139" i="21"/>
  <c r="E139" i="21"/>
  <c r="H139" i="21"/>
  <c r="H218" i="55"/>
  <c r="H154" i="55"/>
  <c r="H287" i="55"/>
  <c r="H223" i="55"/>
  <c r="H159" i="55"/>
  <c r="H284" i="55"/>
  <c r="H97" i="55"/>
  <c r="H262" i="55"/>
  <c r="H198" i="55"/>
  <c r="H134" i="55"/>
  <c r="H115" i="55"/>
  <c r="H307" i="55"/>
  <c r="H203" i="55"/>
  <c r="H96" i="55"/>
  <c r="H40" i="55"/>
  <c r="H209" i="55"/>
  <c r="H42" i="55"/>
  <c r="H51" i="55"/>
  <c r="H39" i="55"/>
  <c r="H76" i="55"/>
  <c r="H70" i="55"/>
  <c r="D61" i="21"/>
  <c r="G61" i="21"/>
  <c r="H61" i="21"/>
  <c r="E61" i="21"/>
  <c r="J61" i="21"/>
  <c r="H199" i="55"/>
  <c r="H135" i="55"/>
  <c r="H116" i="55"/>
  <c r="H260" i="55"/>
  <c r="H302" i="55"/>
  <c r="H238" i="55"/>
  <c r="H174" i="55"/>
  <c r="H91" i="55"/>
  <c r="H283" i="55"/>
  <c r="H251" i="55"/>
  <c r="H179" i="55"/>
  <c r="H155" i="55"/>
  <c r="H86" i="55"/>
  <c r="H80" i="55"/>
  <c r="H14" i="55"/>
  <c r="H43" i="55"/>
  <c r="H225" i="55"/>
  <c r="H52" i="55"/>
  <c r="H150" i="55"/>
  <c r="H227" i="55"/>
  <c r="H219" i="55"/>
  <c r="H131" i="55"/>
  <c r="H112" i="55"/>
  <c r="H193" i="55"/>
  <c r="H56" i="55"/>
  <c r="H233" i="55"/>
  <c r="H281" i="55"/>
  <c r="H58" i="55"/>
  <c r="H21" i="55"/>
  <c r="H185" i="55"/>
  <c r="H55" i="55"/>
  <c r="H73" i="55"/>
  <c r="G139" i="21"/>
  <c r="H95" i="55"/>
  <c r="H279" i="55"/>
  <c r="H215" i="55"/>
  <c r="H151" i="55"/>
  <c r="H276" i="55"/>
  <c r="H212" i="55"/>
  <c r="H89" i="55"/>
  <c r="H254" i="55"/>
  <c r="H190" i="55"/>
  <c r="H126" i="55"/>
  <c r="H107" i="55"/>
  <c r="H299" i="55"/>
  <c r="H267" i="55"/>
  <c r="H195" i="55"/>
  <c r="H32" i="55"/>
  <c r="H77" i="55"/>
  <c r="H61" i="55"/>
  <c r="H45" i="55"/>
  <c r="H29" i="55"/>
  <c r="H145" i="55"/>
  <c r="H34" i="55"/>
  <c r="H15" i="55"/>
  <c r="H68" i="55"/>
  <c r="H72" i="21"/>
  <c r="E117" i="21"/>
  <c r="H49" i="55"/>
  <c r="H27" i="55"/>
  <c r="H16" i="55"/>
  <c r="H65" i="55"/>
  <c r="H46" i="55"/>
  <c r="H41" i="55"/>
  <c r="H117" i="21"/>
  <c r="H305" i="55"/>
  <c r="L267" i="21" l="1"/>
  <c r="L61" i="21"/>
  <c r="L63" i="21"/>
  <c r="L139" i="21"/>
  <c r="L72" i="21"/>
  <c r="L17" i="21"/>
  <c r="L47" i="21"/>
  <c r="L56" i="21"/>
  <c r="L45" i="21"/>
  <c r="H308" i="55"/>
  <c r="P72" i="29"/>
  <c r="P56" i="29"/>
  <c r="P17" i="29"/>
  <c r="P61" i="29"/>
  <c r="P267" i="29"/>
  <c r="P45" i="29"/>
  <c r="P47" i="29"/>
  <c r="P63" i="29"/>
  <c r="F89" i="9"/>
  <c r="F279" i="9"/>
  <c r="F86" i="9"/>
  <c r="F39" i="9"/>
  <c r="F50" i="9"/>
  <c r="F141" i="9"/>
  <c r="F144" i="9"/>
  <c r="F111" i="9"/>
  <c r="F93" i="9"/>
  <c r="F113" i="9"/>
  <c r="F236" i="9"/>
  <c r="F41" i="9"/>
  <c r="F299" i="9"/>
  <c r="F276" i="9"/>
  <c r="F14" i="9"/>
  <c r="F302" i="9"/>
  <c r="F260" i="9"/>
  <c r="F235" i="9"/>
  <c r="F33" i="9"/>
  <c r="F187" i="9"/>
  <c r="F118" i="9"/>
  <c r="F81" i="9"/>
  <c r="F204" i="9"/>
  <c r="F121" i="9"/>
  <c r="F245" i="9"/>
  <c r="F240" i="9"/>
  <c r="F205" i="9"/>
  <c r="F290" i="9"/>
  <c r="F232" i="9"/>
  <c r="F221" i="9"/>
  <c r="F283" i="9"/>
  <c r="F169" i="9"/>
  <c r="F105" i="9"/>
  <c r="F192" i="9"/>
  <c r="F117" i="9"/>
  <c r="F74" i="9"/>
  <c r="F108" i="9"/>
  <c r="F46" i="9"/>
  <c r="F190" i="9"/>
  <c r="F80" i="9"/>
  <c r="F119" i="9"/>
  <c r="F60" i="9"/>
  <c r="F104" i="9"/>
  <c r="F67" i="9"/>
  <c r="F114" i="9"/>
  <c r="F243" i="9"/>
  <c r="F166" i="9"/>
  <c r="F300" i="9"/>
  <c r="F143" i="9"/>
  <c r="F77" i="9"/>
  <c r="F151" i="9"/>
  <c r="F281" i="9"/>
  <c r="F233" i="9"/>
  <c r="F112" i="9"/>
  <c r="F198" i="9"/>
  <c r="F63" i="9"/>
  <c r="F69" i="9"/>
  <c r="F163" i="9"/>
  <c r="F158" i="9"/>
  <c r="F183" i="9"/>
  <c r="F273" i="9"/>
  <c r="F142" i="9"/>
  <c r="F292" i="9"/>
  <c r="F295" i="9"/>
  <c r="F301" i="9"/>
  <c r="F153" i="9"/>
  <c r="F278" i="9"/>
  <c r="F229" i="9"/>
  <c r="F172" i="9"/>
  <c r="F239" i="9"/>
  <c r="F101" i="9"/>
  <c r="F152" i="9"/>
  <c r="F280" i="9"/>
  <c r="F146" i="9"/>
  <c r="F186" i="9"/>
  <c r="F156" i="9"/>
  <c r="F222" i="9"/>
  <c r="F54" i="9"/>
  <c r="F23" i="9"/>
  <c r="F255" i="9"/>
  <c r="F103" i="9"/>
  <c r="F165" i="9"/>
  <c r="F200" i="9"/>
  <c r="F195" i="9"/>
  <c r="F225" i="9"/>
  <c r="F179" i="9"/>
  <c r="F42" i="9"/>
  <c r="F180" i="9"/>
  <c r="F100" i="9"/>
  <c r="F247" i="9"/>
  <c r="F25" i="9"/>
  <c r="F270" i="9"/>
  <c r="F256" i="9"/>
  <c r="F304" i="9"/>
  <c r="F71" i="9"/>
  <c r="F214" i="9"/>
  <c r="F303" i="9"/>
  <c r="F294" i="9"/>
  <c r="F79" i="9"/>
  <c r="F248" i="9"/>
  <c r="F122" i="9"/>
  <c r="F261" i="9"/>
  <c r="F265" i="9"/>
  <c r="F203" i="9"/>
  <c r="F126" i="9"/>
  <c r="F199" i="9"/>
  <c r="F96" i="9"/>
  <c r="F134" i="9"/>
  <c r="F64" i="9"/>
  <c r="F286" i="9"/>
  <c r="F297" i="9"/>
  <c r="F291" i="9"/>
  <c r="F289" i="9"/>
  <c r="F164" i="9"/>
  <c r="F202" i="9"/>
  <c r="F208" i="9"/>
  <c r="F170" i="9"/>
  <c r="F140" i="9"/>
  <c r="F212" i="9"/>
  <c r="F91" i="9"/>
  <c r="F76" i="9"/>
  <c r="F132" i="9"/>
  <c r="F128" i="9"/>
  <c r="F82" i="9"/>
  <c r="F296" i="9"/>
  <c r="F252" i="9"/>
  <c r="F85" i="9"/>
  <c r="F219" i="9"/>
  <c r="F51" i="9"/>
  <c r="F262" i="9"/>
  <c r="F29" i="9"/>
  <c r="F185" i="9"/>
  <c r="F193" i="9"/>
  <c r="F284" i="9"/>
  <c r="F19" i="9"/>
  <c r="F95" i="9"/>
  <c r="F131" i="9"/>
  <c r="F150" i="9"/>
  <c r="F251" i="9"/>
  <c r="F135" i="9"/>
  <c r="F218" i="9"/>
  <c r="F75" i="9"/>
  <c r="F110" i="9"/>
  <c r="F162" i="9"/>
  <c r="F168" i="9"/>
  <c r="F171" i="9"/>
  <c r="F27" i="9"/>
  <c r="F43" i="9"/>
  <c r="F155" i="9"/>
  <c r="F115" i="9"/>
  <c r="F97" i="9"/>
  <c r="F53" i="9"/>
  <c r="F148" i="9"/>
  <c r="F24" i="9"/>
  <c r="F99" i="9"/>
  <c r="F268" i="9"/>
  <c r="F84" i="9"/>
  <c r="F127" i="9"/>
  <c r="F181" i="9"/>
  <c r="F272" i="9"/>
  <c r="F90" i="9"/>
  <c r="F269" i="9"/>
  <c r="F98" i="9"/>
  <c r="F149" i="9"/>
  <c r="F216" i="9"/>
  <c r="F282" i="9"/>
  <c r="F109" i="9"/>
  <c r="F173" i="9"/>
  <c r="F293" i="9"/>
  <c r="F102" i="9"/>
  <c r="F271" i="9"/>
  <c r="F174" i="9"/>
  <c r="F159" i="9"/>
  <c r="F35" i="9"/>
  <c r="F65" i="9"/>
  <c r="F16" i="9"/>
  <c r="F49" i="9"/>
  <c r="F56" i="9"/>
  <c r="F52" i="9"/>
  <c r="F209" i="9"/>
  <c r="F66" i="9"/>
  <c r="F48" i="9"/>
  <c r="F228" i="9"/>
  <c r="F231" i="9"/>
  <c r="F130" i="9"/>
  <c r="F207" i="9"/>
  <c r="F44" i="9"/>
  <c r="F147" i="9"/>
  <c r="F230" i="9"/>
  <c r="F175" i="9"/>
  <c r="F136" i="9"/>
  <c r="F264" i="9"/>
  <c r="F72" i="9"/>
  <c r="F87" i="9"/>
  <c r="F133" i="9"/>
  <c r="F197" i="9"/>
  <c r="F47" i="9"/>
  <c r="F61" i="9"/>
  <c r="F32" i="9"/>
  <c r="F254" i="9"/>
  <c r="F194" i="9"/>
  <c r="F189" i="9"/>
  <c r="F274" i="9"/>
  <c r="F83" i="9"/>
  <c r="F145" i="9"/>
  <c r="F215" i="9"/>
  <c r="F40" i="9"/>
  <c r="F287" i="9"/>
  <c r="F191" i="9"/>
  <c r="F160" i="9"/>
  <c r="F125" i="9"/>
  <c r="F92" i="9"/>
  <c r="F234" i="9"/>
  <c r="F120" i="9"/>
  <c r="F305" i="9"/>
  <c r="F73" i="9"/>
  <c r="F37" i="9"/>
  <c r="F129" i="9"/>
  <c r="F226" i="9"/>
  <c r="F178" i="9"/>
  <c r="F138" i="9"/>
  <c r="F237" i="9"/>
  <c r="F188" i="9"/>
  <c r="F45" i="9"/>
  <c r="F238" i="9"/>
  <c r="F116" i="9"/>
  <c r="F70" i="9"/>
  <c r="F223" i="9"/>
  <c r="F123" i="9"/>
  <c r="F213" i="9"/>
  <c r="F34" i="9"/>
  <c r="F244" i="9"/>
  <c r="F253" i="9"/>
  <c r="F259" i="9"/>
  <c r="F176" i="9"/>
  <c r="F224" i="9"/>
  <c r="F267" i="9"/>
  <c r="F107" i="9"/>
  <c r="F257" i="9"/>
  <c r="F206" i="9"/>
  <c r="F184" i="9"/>
  <c r="F298" i="9"/>
  <c r="F68" i="9"/>
  <c r="F15" i="9"/>
  <c r="F58" i="9"/>
  <c r="F227" i="9"/>
  <c r="F154" i="9"/>
  <c r="F246" i="9"/>
  <c r="F211" i="9"/>
  <c r="F242" i="9"/>
  <c r="F285" i="9"/>
  <c r="F106" i="9"/>
  <c r="F21" i="9"/>
  <c r="F161" i="9"/>
  <c r="F288" i="9"/>
  <c r="F201" i="9"/>
  <c r="F26" i="9"/>
  <c r="F55" i="9"/>
  <c r="F20" i="9"/>
  <c r="F28" i="9"/>
  <c r="F22" i="9"/>
  <c r="F18" i="9"/>
  <c r="F137" i="9"/>
  <c r="F57" i="9"/>
  <c r="F306" i="9"/>
  <c r="F88" i="9"/>
  <c r="F258" i="9"/>
  <c r="F36" i="9"/>
  <c r="F124" i="9"/>
  <c r="F275" i="9"/>
  <c r="F31" i="9"/>
  <c r="F17" i="9"/>
  <c r="F196" i="9"/>
  <c r="F277" i="9"/>
  <c r="F241" i="9"/>
  <c r="F182" i="9"/>
  <c r="F157" i="9"/>
  <c r="F59" i="9"/>
  <c r="F217" i="9"/>
  <c r="F167" i="9"/>
  <c r="F139" i="9"/>
  <c r="F30" i="9"/>
  <c r="F38" i="9"/>
  <c r="F62" i="9"/>
  <c r="F263" i="9"/>
  <c r="F177" i="9"/>
  <c r="F220" i="9"/>
  <c r="H27" i="21"/>
  <c r="G27" i="21"/>
  <c r="F27" i="21"/>
  <c r="D27" i="21"/>
  <c r="E27" i="21"/>
  <c r="D117" i="21"/>
  <c r="G117" i="21"/>
  <c r="J117" i="21"/>
  <c r="D235" i="21"/>
  <c r="F235" i="21"/>
  <c r="G235" i="21"/>
  <c r="H235" i="21"/>
  <c r="J235" i="21"/>
  <c r="E235" i="21"/>
  <c r="D190" i="21"/>
  <c r="E190" i="21"/>
  <c r="J190" i="21"/>
  <c r="F190" i="21"/>
  <c r="H190" i="21"/>
  <c r="G190" i="21"/>
  <c r="D297" i="21"/>
  <c r="F297" i="21"/>
  <c r="G297" i="21"/>
  <c r="E297" i="21"/>
  <c r="H297" i="21"/>
  <c r="J297" i="21"/>
  <c r="D203" i="21"/>
  <c r="G203" i="21"/>
  <c r="F203" i="21"/>
  <c r="J203" i="21"/>
  <c r="H203" i="21"/>
  <c r="E203" i="21"/>
  <c r="D211" i="21"/>
  <c r="H211" i="21"/>
  <c r="E211" i="21"/>
  <c r="J211" i="21"/>
  <c r="G211" i="21"/>
  <c r="F211" i="21"/>
  <c r="D24" i="21"/>
  <c r="E24" i="21"/>
  <c r="H24" i="21"/>
  <c r="F24" i="21"/>
  <c r="G24" i="21"/>
  <c r="J24" i="21"/>
  <c r="D23" i="21"/>
  <c r="H23" i="21"/>
  <c r="F23" i="21"/>
  <c r="E23" i="21"/>
  <c r="G23" i="21"/>
  <c r="J23" i="21"/>
  <c r="D157" i="21"/>
  <c r="J157" i="21"/>
  <c r="F157" i="21"/>
  <c r="H157" i="21"/>
  <c r="G157" i="21"/>
  <c r="E157" i="21"/>
  <c r="D229" i="21"/>
  <c r="G229" i="21"/>
  <c r="E229" i="21"/>
  <c r="J229" i="21"/>
  <c r="F229" i="21"/>
  <c r="H229" i="21"/>
  <c r="D238" i="21"/>
  <c r="G238" i="21"/>
  <c r="H238" i="21"/>
  <c r="F238" i="21"/>
  <c r="E238" i="21"/>
  <c r="J238" i="21"/>
  <c r="D305" i="21"/>
  <c r="G305" i="21"/>
  <c r="E305" i="21"/>
  <c r="F305" i="21"/>
  <c r="J305" i="21"/>
  <c r="H305" i="21"/>
  <c r="D78" i="21"/>
  <c r="F78" i="21"/>
  <c r="H78" i="21"/>
  <c r="J78" i="21"/>
  <c r="E78" i="21"/>
  <c r="G78" i="21"/>
  <c r="D44" i="21"/>
  <c r="F44" i="21"/>
  <c r="G44" i="21"/>
  <c r="E44" i="21"/>
  <c r="H44" i="21"/>
  <c r="J44" i="21"/>
  <c r="D205" i="21"/>
  <c r="J205" i="21"/>
  <c r="H205" i="21"/>
  <c r="E205" i="21"/>
  <c r="F205" i="21"/>
  <c r="G205" i="21"/>
  <c r="D264" i="21"/>
  <c r="G264" i="21"/>
  <c r="E264" i="21"/>
  <c r="F264" i="21"/>
  <c r="J264" i="21"/>
  <c r="H264" i="21"/>
  <c r="D18" i="21"/>
  <c r="J18" i="21"/>
  <c r="H18" i="21"/>
  <c r="F18" i="21"/>
  <c r="E18" i="21"/>
  <c r="G18" i="21"/>
  <c r="D66" i="21"/>
  <c r="H66" i="21"/>
  <c r="J66" i="21"/>
  <c r="E66" i="21"/>
  <c r="F66" i="21"/>
  <c r="G66" i="21"/>
  <c r="D249" i="21"/>
  <c r="F249" i="21"/>
  <c r="J249" i="21"/>
  <c r="E249" i="21"/>
  <c r="G249" i="21"/>
  <c r="H249" i="21"/>
  <c r="D19" i="21"/>
  <c r="H19" i="21"/>
  <c r="J19" i="21"/>
  <c r="G19" i="21"/>
  <c r="E19" i="21"/>
  <c r="F19" i="21"/>
  <c r="D270" i="21"/>
  <c r="G270" i="21"/>
  <c r="J270" i="21"/>
  <c r="H270" i="21"/>
  <c r="E270" i="21"/>
  <c r="F270" i="21"/>
  <c r="D16" i="21"/>
  <c r="J16" i="21"/>
  <c r="E16" i="21"/>
  <c r="H16" i="21"/>
  <c r="F16" i="21"/>
  <c r="G16" i="21"/>
  <c r="D134" i="21"/>
  <c r="H134" i="21"/>
  <c r="G134" i="21"/>
  <c r="E134" i="21"/>
  <c r="F134" i="21"/>
  <c r="J134" i="21"/>
  <c r="D230" i="21"/>
  <c r="J230" i="21"/>
  <c r="G230" i="21"/>
  <c r="H230" i="21"/>
  <c r="E230" i="21"/>
  <c r="F230" i="21"/>
  <c r="D129" i="21"/>
  <c r="H129" i="21"/>
  <c r="G129" i="21"/>
  <c r="F129" i="21"/>
  <c r="J129" i="21"/>
  <c r="E129" i="21"/>
  <c r="D105" i="21"/>
  <c r="F105" i="21"/>
  <c r="J105" i="21"/>
  <c r="E105" i="21"/>
  <c r="H105" i="21"/>
  <c r="G105" i="21"/>
  <c r="D207" i="21"/>
  <c r="E207" i="21"/>
  <c r="J207" i="21"/>
  <c r="G207" i="21"/>
  <c r="F207" i="21"/>
  <c r="H207" i="21"/>
  <c r="D154" i="21"/>
  <c r="F154" i="21"/>
  <c r="E154" i="21"/>
  <c r="H154" i="21"/>
  <c r="G154" i="21"/>
  <c r="J154" i="21"/>
  <c r="D214" i="21"/>
  <c r="F214" i="21"/>
  <c r="H214" i="21"/>
  <c r="G214" i="21"/>
  <c r="E214" i="21"/>
  <c r="J214" i="21"/>
  <c r="D212" i="21"/>
  <c r="H212" i="21"/>
  <c r="F212" i="21"/>
  <c r="G212" i="21"/>
  <c r="J212" i="21"/>
  <c r="E212" i="21"/>
  <c r="D151" i="21"/>
  <c r="J151" i="21"/>
  <c r="F151" i="21"/>
  <c r="E151" i="21"/>
  <c r="H151" i="21"/>
  <c r="G151" i="21"/>
  <c r="D34" i="21"/>
  <c r="J34" i="21"/>
  <c r="G34" i="21"/>
  <c r="F34" i="21"/>
  <c r="H34" i="21"/>
  <c r="E34" i="21"/>
  <c r="D233" i="21"/>
  <c r="F233" i="21"/>
  <c r="J233" i="21"/>
  <c r="E233" i="21"/>
  <c r="H233" i="21"/>
  <c r="G233" i="21"/>
  <c r="D97" i="21"/>
  <c r="F97" i="21"/>
  <c r="J97" i="21"/>
  <c r="H97" i="21"/>
  <c r="G97" i="21"/>
  <c r="E97" i="21"/>
  <c r="D186" i="21"/>
  <c r="E186" i="21"/>
  <c r="J186" i="21"/>
  <c r="G186" i="21"/>
  <c r="F186" i="21"/>
  <c r="H186" i="21"/>
  <c r="D287" i="21"/>
  <c r="H287" i="21"/>
  <c r="G287" i="21"/>
  <c r="F287" i="21"/>
  <c r="E287" i="21"/>
  <c r="J287" i="21"/>
  <c r="H290" i="21"/>
  <c r="G290" i="21"/>
  <c r="D290" i="21"/>
  <c r="E290" i="21"/>
  <c r="J290" i="21"/>
  <c r="F290" i="21"/>
  <c r="D275" i="21"/>
  <c r="H275" i="21"/>
  <c r="G275" i="21"/>
  <c r="F275" i="21"/>
  <c r="J275" i="21"/>
  <c r="E275" i="21"/>
  <c r="D263" i="21"/>
  <c r="E263" i="21"/>
  <c r="F263" i="21"/>
  <c r="J263" i="21"/>
  <c r="H263" i="21"/>
  <c r="G263" i="21"/>
  <c r="D234" i="21"/>
  <c r="H234" i="21"/>
  <c r="E234" i="21"/>
  <c r="F234" i="21"/>
  <c r="G234" i="21"/>
  <c r="J234" i="21"/>
  <c r="D251" i="21"/>
  <c r="F251" i="21"/>
  <c r="J251" i="21"/>
  <c r="E251" i="21"/>
  <c r="G251" i="21"/>
  <c r="H251" i="21"/>
  <c r="D52" i="21"/>
  <c r="G52" i="21"/>
  <c r="E52" i="21"/>
  <c r="F52" i="21"/>
  <c r="H52" i="21"/>
  <c r="J52" i="21"/>
  <c r="D289" i="21"/>
  <c r="E289" i="21"/>
  <c r="F289" i="21"/>
  <c r="J289" i="21"/>
  <c r="H289" i="21"/>
  <c r="G289" i="21"/>
  <c r="D79" i="21"/>
  <c r="H79" i="21"/>
  <c r="E79" i="21"/>
  <c r="F79" i="21"/>
  <c r="J79" i="21"/>
  <c r="G79" i="21"/>
  <c r="D108" i="21"/>
  <c r="E108" i="21"/>
  <c r="F108" i="21"/>
  <c r="H108" i="21"/>
  <c r="J108" i="21"/>
  <c r="G108" i="21"/>
  <c r="D303" i="21"/>
  <c r="F303" i="21"/>
  <c r="H303" i="21"/>
  <c r="G303" i="21"/>
  <c r="E303" i="21"/>
  <c r="J303" i="21"/>
  <c r="D87" i="21"/>
  <c r="H87" i="21"/>
  <c r="G87" i="21"/>
  <c r="F87" i="21"/>
  <c r="E87" i="21"/>
  <c r="J87" i="21"/>
  <c r="D75" i="21"/>
  <c r="G75" i="21"/>
  <c r="F75" i="21"/>
  <c r="J75" i="21"/>
  <c r="E75" i="21"/>
  <c r="H75" i="21"/>
  <c r="D155" i="21"/>
  <c r="E155" i="21"/>
  <c r="H155" i="21"/>
  <c r="F155" i="21"/>
  <c r="J155" i="21"/>
  <c r="G155" i="21"/>
  <c r="D71" i="21"/>
  <c r="F71" i="21"/>
  <c r="G71" i="21"/>
  <c r="J71" i="21"/>
  <c r="E71" i="21"/>
  <c r="H71" i="21"/>
  <c r="D55" i="21"/>
  <c r="G55" i="21"/>
  <c r="E55" i="21"/>
  <c r="H55" i="21"/>
  <c r="J55" i="21"/>
  <c r="F55" i="21"/>
  <c r="D59" i="21"/>
  <c r="E59" i="21"/>
  <c r="F59" i="21"/>
  <c r="G59" i="21"/>
  <c r="H59" i="21"/>
  <c r="J59" i="21"/>
  <c r="D14" i="21"/>
  <c r="G14" i="21"/>
  <c r="J14" i="21"/>
  <c r="E14" i="21"/>
  <c r="H14" i="21"/>
  <c r="F14" i="21"/>
  <c r="D177" i="21"/>
  <c r="G177" i="21"/>
  <c r="J177" i="21"/>
  <c r="E177" i="21"/>
  <c r="F177" i="21"/>
  <c r="H177" i="21"/>
  <c r="D241" i="21"/>
  <c r="J241" i="21"/>
  <c r="G241" i="21"/>
  <c r="E241" i="21"/>
  <c r="F241" i="21"/>
  <c r="H241" i="21"/>
  <c r="D42" i="21"/>
  <c r="F42" i="21"/>
  <c r="J42" i="21"/>
  <c r="G42" i="21"/>
  <c r="H42" i="21"/>
  <c r="E42" i="21"/>
  <c r="J195" i="21"/>
  <c r="G195" i="21"/>
  <c r="E195" i="21"/>
  <c r="F195" i="21"/>
  <c r="H195" i="21"/>
  <c r="D195" i="21"/>
  <c r="D160" i="21"/>
  <c r="G160" i="21"/>
  <c r="H160" i="21"/>
  <c r="F160" i="21"/>
  <c r="E160" i="21"/>
  <c r="J160" i="21"/>
  <c r="D82" i="21"/>
  <c r="E82" i="21"/>
  <c r="H82" i="21"/>
  <c r="J82" i="21"/>
  <c r="F82" i="21"/>
  <c r="G82" i="21"/>
  <c r="D291" i="21"/>
  <c r="E291" i="21"/>
  <c r="H291" i="21"/>
  <c r="J291" i="21"/>
  <c r="G291" i="21"/>
  <c r="F291" i="21"/>
  <c r="D299" i="21"/>
  <c r="F299" i="21"/>
  <c r="E299" i="21"/>
  <c r="H299" i="21"/>
  <c r="G299" i="21"/>
  <c r="J299" i="21"/>
  <c r="D125" i="21"/>
  <c r="H125" i="21"/>
  <c r="J125" i="21"/>
  <c r="E125" i="21"/>
  <c r="F125" i="21"/>
  <c r="G125" i="21"/>
  <c r="D272" i="21"/>
  <c r="J272" i="21"/>
  <c r="G272" i="21"/>
  <c r="E272" i="21"/>
  <c r="F272" i="21"/>
  <c r="H272" i="21"/>
  <c r="D46" i="21"/>
  <c r="E46" i="21"/>
  <c r="J46" i="21"/>
  <c r="G46" i="21"/>
  <c r="F46" i="21"/>
  <c r="H46" i="21"/>
  <c r="D123" i="21"/>
  <c r="E123" i="21"/>
  <c r="J123" i="21"/>
  <c r="F123" i="21"/>
  <c r="H123" i="21"/>
  <c r="G123" i="21"/>
  <c r="D110" i="21"/>
  <c r="J110" i="21"/>
  <c r="F110" i="21"/>
  <c r="E110" i="21"/>
  <c r="G110" i="21"/>
  <c r="H110" i="21"/>
  <c r="D196" i="21"/>
  <c r="H196" i="21"/>
  <c r="F196" i="21"/>
  <c r="G196" i="21"/>
  <c r="E196" i="21"/>
  <c r="J196" i="21"/>
  <c r="D271" i="21"/>
  <c r="G271" i="21"/>
  <c r="F271" i="21"/>
  <c r="E271" i="21"/>
  <c r="J271" i="21"/>
  <c r="H271" i="21"/>
  <c r="D171" i="21"/>
  <c r="F171" i="21"/>
  <c r="G171" i="21"/>
  <c r="H171" i="21"/>
  <c r="E171" i="21"/>
  <c r="J171" i="21"/>
  <c r="D172" i="21"/>
  <c r="G172" i="21"/>
  <c r="E172" i="21"/>
  <c r="J172" i="21"/>
  <c r="H172" i="21"/>
  <c r="F172" i="21"/>
  <c r="D231" i="21"/>
  <c r="H231" i="21"/>
  <c r="J231" i="21"/>
  <c r="G231" i="21"/>
  <c r="E231" i="21"/>
  <c r="F231" i="21"/>
  <c r="D239" i="21"/>
  <c r="F239" i="21"/>
  <c r="H239" i="21"/>
  <c r="J239" i="21"/>
  <c r="E239" i="21"/>
  <c r="G239" i="21"/>
  <c r="D143" i="21"/>
  <c r="G143" i="21"/>
  <c r="J143" i="21"/>
  <c r="H143" i="21"/>
  <c r="E143" i="21"/>
  <c r="F143" i="21"/>
  <c r="D192" i="21"/>
  <c r="E192" i="21"/>
  <c r="J192" i="21"/>
  <c r="F192" i="21"/>
  <c r="H192" i="21"/>
  <c r="G192" i="21"/>
  <c r="D33" i="21"/>
  <c r="E33" i="21"/>
  <c r="F33" i="21"/>
  <c r="H33" i="21"/>
  <c r="J33" i="21"/>
  <c r="G33" i="21"/>
  <c r="D119" i="21"/>
  <c r="G119" i="21"/>
  <c r="E119" i="21"/>
  <c r="F119" i="21"/>
  <c r="H119" i="21"/>
  <c r="J119" i="21"/>
  <c r="D170" i="21"/>
  <c r="E170" i="21"/>
  <c r="G170" i="21"/>
  <c r="F170" i="21"/>
  <c r="H170" i="21"/>
  <c r="J170" i="21"/>
  <c r="D39" i="21"/>
  <c r="F39" i="21"/>
  <c r="G39" i="21"/>
  <c r="E39" i="21"/>
  <c r="H39" i="21"/>
  <c r="J39" i="21"/>
  <c r="D54" i="21"/>
  <c r="H54" i="21"/>
  <c r="F54" i="21"/>
  <c r="E54" i="21"/>
  <c r="J54" i="21"/>
  <c r="G54" i="21"/>
  <c r="D96" i="21"/>
  <c r="H96" i="21"/>
  <c r="J96" i="21"/>
  <c r="E96" i="21"/>
  <c r="G96" i="21"/>
  <c r="F96" i="21"/>
  <c r="D247" i="21"/>
  <c r="E247" i="21"/>
  <c r="J247" i="21"/>
  <c r="F247" i="21"/>
  <c r="H247" i="21"/>
  <c r="G247" i="21"/>
  <c r="D116" i="21"/>
  <c r="E116" i="21"/>
  <c r="J116" i="21"/>
  <c r="F116" i="21"/>
  <c r="H116" i="21"/>
  <c r="G116" i="21"/>
  <c r="D217" i="21"/>
  <c r="G217" i="21"/>
  <c r="F217" i="21"/>
  <c r="H217" i="21"/>
  <c r="J217" i="21"/>
  <c r="E217" i="21"/>
  <c r="D300" i="21"/>
  <c r="J300" i="21"/>
  <c r="F300" i="21"/>
  <c r="H300" i="21"/>
  <c r="G300" i="21"/>
  <c r="E300" i="21"/>
  <c r="D298" i="21"/>
  <c r="J298" i="21"/>
  <c r="H298" i="21"/>
  <c r="E298" i="21"/>
  <c r="F298" i="21"/>
  <c r="G298" i="21"/>
  <c r="D22" i="21"/>
  <c r="G22" i="21"/>
  <c r="F22" i="21"/>
  <c r="J22" i="21"/>
  <c r="H22" i="21"/>
  <c r="E22" i="21"/>
  <c r="C308" i="4"/>
  <c r="D147" i="21"/>
  <c r="F147" i="21"/>
  <c r="H147" i="21"/>
  <c r="E147" i="21"/>
  <c r="G147" i="21"/>
  <c r="J147" i="21"/>
  <c r="D112" i="21"/>
  <c r="F112" i="21"/>
  <c r="G112" i="21"/>
  <c r="H112" i="21"/>
  <c r="E112" i="21"/>
  <c r="J112" i="21"/>
  <c r="D57" i="21"/>
  <c r="E57" i="21"/>
  <c r="F57" i="21"/>
  <c r="G57" i="21"/>
  <c r="J57" i="21"/>
  <c r="H57" i="21"/>
  <c r="D280" i="21"/>
  <c r="H280" i="21"/>
  <c r="E280" i="21"/>
  <c r="F280" i="21"/>
  <c r="J280" i="21"/>
  <c r="G280" i="21"/>
  <c r="D94" i="21"/>
  <c r="G94" i="21"/>
  <c r="F94" i="21"/>
  <c r="H94" i="21"/>
  <c r="J94" i="21"/>
  <c r="E94" i="21"/>
  <c r="D181" i="21"/>
  <c r="G181" i="21"/>
  <c r="F181" i="21"/>
  <c r="J181" i="21"/>
  <c r="E181" i="21"/>
  <c r="H181" i="21"/>
  <c r="D126" i="21"/>
  <c r="H126" i="21"/>
  <c r="J126" i="21"/>
  <c r="G126" i="21"/>
  <c r="F126" i="21"/>
  <c r="E126" i="21"/>
  <c r="E222" i="21"/>
  <c r="F222" i="21"/>
  <c r="G222" i="21"/>
  <c r="J222" i="21"/>
  <c r="D222" i="21"/>
  <c r="H222" i="21"/>
  <c r="D65" i="21"/>
  <c r="H65" i="21"/>
  <c r="F65" i="21"/>
  <c r="G65" i="21"/>
  <c r="E65" i="21"/>
  <c r="J65" i="21"/>
  <c r="D141" i="21"/>
  <c r="F141" i="21"/>
  <c r="G141" i="21"/>
  <c r="H141" i="21"/>
  <c r="J141" i="21"/>
  <c r="E141" i="21"/>
  <c r="D28" i="21"/>
  <c r="F28" i="21"/>
  <c r="H28" i="21"/>
  <c r="E28" i="21"/>
  <c r="J28" i="21"/>
  <c r="G28" i="21"/>
  <c r="D189" i="21"/>
  <c r="H189" i="21"/>
  <c r="G189" i="21"/>
  <c r="F189" i="21"/>
  <c r="E189" i="21"/>
  <c r="J189" i="21"/>
  <c r="D261" i="21"/>
  <c r="E261" i="21"/>
  <c r="G261" i="21"/>
  <c r="F261" i="21"/>
  <c r="J261" i="21"/>
  <c r="H261" i="21"/>
  <c r="D184" i="21"/>
  <c r="F184" i="21"/>
  <c r="E184" i="21"/>
  <c r="G184" i="21"/>
  <c r="H184" i="21"/>
  <c r="J184" i="21"/>
  <c r="D140" i="21"/>
  <c r="F140" i="21"/>
  <c r="G140" i="21"/>
  <c r="E140" i="21"/>
  <c r="H140" i="21"/>
  <c r="J140" i="21"/>
  <c r="D49" i="21"/>
  <c r="G49" i="21"/>
  <c r="E49" i="21"/>
  <c r="F49" i="21"/>
  <c r="J49" i="21"/>
  <c r="H49" i="21"/>
  <c r="D50" i="21"/>
  <c r="H50" i="21"/>
  <c r="F50" i="21"/>
  <c r="G50" i="21"/>
  <c r="J50" i="21"/>
  <c r="E50" i="21"/>
  <c r="D294" i="21"/>
  <c r="H294" i="21"/>
  <c r="F294" i="21"/>
  <c r="G294" i="21"/>
  <c r="J294" i="21"/>
  <c r="E294" i="21"/>
  <c r="F73" i="21"/>
  <c r="H73" i="21"/>
  <c r="J73" i="21"/>
  <c r="D73" i="21"/>
  <c r="E73" i="21"/>
  <c r="G73" i="21"/>
  <c r="D74" i="21"/>
  <c r="H74" i="21"/>
  <c r="J74" i="21"/>
  <c r="G74" i="21"/>
  <c r="E74" i="21"/>
  <c r="F74" i="21"/>
  <c r="D254" i="21"/>
  <c r="J254" i="21"/>
  <c r="E254" i="21"/>
  <c r="H254" i="21"/>
  <c r="F254" i="21"/>
  <c r="G254" i="21"/>
  <c r="D118" i="21"/>
  <c r="H118" i="21"/>
  <c r="J118" i="21"/>
  <c r="F118" i="21"/>
  <c r="E118" i="21"/>
  <c r="G118" i="21"/>
  <c r="D279" i="21"/>
  <c r="F279" i="21"/>
  <c r="J279" i="21"/>
  <c r="E279" i="21"/>
  <c r="H279" i="21"/>
  <c r="G279" i="21"/>
  <c r="D100" i="21"/>
  <c r="G100" i="21"/>
  <c r="H100" i="21"/>
  <c r="E100" i="21"/>
  <c r="F100" i="21"/>
  <c r="J100" i="21"/>
  <c r="D167" i="21"/>
  <c r="J167" i="21"/>
  <c r="F167" i="21"/>
  <c r="E167" i="21"/>
  <c r="G167" i="21"/>
  <c r="H167" i="21"/>
  <c r="D301" i="21"/>
  <c r="E301" i="21"/>
  <c r="F301" i="21"/>
  <c r="G301" i="21"/>
  <c r="J301" i="21"/>
  <c r="H301" i="21"/>
  <c r="D137" i="21"/>
  <c r="E137" i="21"/>
  <c r="H137" i="21"/>
  <c r="J137" i="21"/>
  <c r="F137" i="21"/>
  <c r="G137" i="21"/>
  <c r="D265" i="21"/>
  <c r="H265" i="21"/>
  <c r="G265" i="21"/>
  <c r="E265" i="21"/>
  <c r="F265" i="21"/>
  <c r="J265" i="21"/>
  <c r="D276" i="21"/>
  <c r="H276" i="21"/>
  <c r="G276" i="21"/>
  <c r="J276" i="21"/>
  <c r="E276" i="21"/>
  <c r="F276" i="21"/>
  <c r="D204" i="21"/>
  <c r="E204" i="21"/>
  <c r="H204" i="21"/>
  <c r="F204" i="21"/>
  <c r="J204" i="21"/>
  <c r="G204" i="21"/>
  <c r="H306" i="21"/>
  <c r="J306" i="21"/>
  <c r="D240" i="21"/>
  <c r="G240" i="21"/>
  <c r="H240" i="21"/>
  <c r="J240" i="21"/>
  <c r="E240" i="21"/>
  <c r="F240" i="21"/>
  <c r="D295" i="21"/>
  <c r="F295" i="21"/>
  <c r="H295" i="21"/>
  <c r="G295" i="21"/>
  <c r="E295" i="21"/>
  <c r="J295" i="21"/>
  <c r="D219" i="21"/>
  <c r="H219" i="21"/>
  <c r="J219" i="21"/>
  <c r="E219" i="21"/>
  <c r="F219" i="21"/>
  <c r="G219" i="21"/>
  <c r="D216" i="21"/>
  <c r="H216" i="21"/>
  <c r="J216" i="21"/>
  <c r="E216" i="21"/>
  <c r="G216" i="21"/>
  <c r="F216" i="21"/>
  <c r="D93" i="21"/>
  <c r="J93" i="21"/>
  <c r="E93" i="21"/>
  <c r="F93" i="21"/>
  <c r="H93" i="21"/>
  <c r="G93" i="21"/>
  <c r="D286" i="21"/>
  <c r="H286" i="21"/>
  <c r="E286" i="21"/>
  <c r="G286" i="21"/>
  <c r="J286" i="21"/>
  <c r="F286" i="21"/>
  <c r="C308" i="3"/>
  <c r="D29" i="21"/>
  <c r="E29" i="21"/>
  <c r="J29" i="21"/>
  <c r="G29" i="21"/>
  <c r="H29" i="21"/>
  <c r="F29" i="21"/>
  <c r="D131" i="21"/>
  <c r="H131" i="21"/>
  <c r="J131" i="21"/>
  <c r="G131" i="21"/>
  <c r="E131" i="21"/>
  <c r="F131" i="21"/>
  <c r="D88" i="21"/>
  <c r="H88" i="21"/>
  <c r="J88" i="21"/>
  <c r="G88" i="21"/>
  <c r="E88" i="21"/>
  <c r="F88" i="21"/>
  <c r="D58" i="21"/>
  <c r="G58" i="21"/>
  <c r="J58" i="21"/>
  <c r="E58" i="21"/>
  <c r="F58" i="21"/>
  <c r="H58" i="21"/>
  <c r="D152" i="21"/>
  <c r="H152" i="21"/>
  <c r="E152" i="21"/>
  <c r="G152" i="21"/>
  <c r="J152" i="21"/>
  <c r="F152" i="21"/>
  <c r="D302" i="21"/>
  <c r="H302" i="21"/>
  <c r="F302" i="21"/>
  <c r="E302" i="21"/>
  <c r="G302" i="21"/>
  <c r="J302" i="21"/>
  <c r="D15" i="21"/>
  <c r="E15" i="21"/>
  <c r="J15" i="21"/>
  <c r="F15" i="21"/>
  <c r="H15" i="21"/>
  <c r="G15" i="21"/>
  <c r="D307" i="21"/>
  <c r="E307" i="21"/>
  <c r="J307" i="21"/>
  <c r="H307" i="21"/>
  <c r="G307" i="21"/>
  <c r="F307" i="21"/>
  <c r="D200" i="21"/>
  <c r="J200" i="21"/>
  <c r="G200" i="21"/>
  <c r="F200" i="21"/>
  <c r="E200" i="21"/>
  <c r="H200" i="21"/>
  <c r="D161" i="21"/>
  <c r="E161" i="21"/>
  <c r="J161" i="21"/>
  <c r="H161" i="21"/>
  <c r="F161" i="21"/>
  <c r="G161" i="21"/>
  <c r="D68" i="21"/>
  <c r="J68" i="21"/>
  <c r="F68" i="21"/>
  <c r="E68" i="21"/>
  <c r="G68" i="21"/>
  <c r="H68" i="21"/>
  <c r="D165" i="21"/>
  <c r="J165" i="21"/>
  <c r="F165" i="21"/>
  <c r="E165" i="21"/>
  <c r="H165" i="21"/>
  <c r="G165" i="21"/>
  <c r="D288" i="21"/>
  <c r="G288" i="21"/>
  <c r="H288" i="21"/>
  <c r="F288" i="21"/>
  <c r="J288" i="21"/>
  <c r="E288" i="21"/>
  <c r="D246" i="21"/>
  <c r="J246" i="21"/>
  <c r="H246" i="21"/>
  <c r="F246" i="21"/>
  <c r="G246" i="21"/>
  <c r="E246" i="21"/>
  <c r="D102" i="21"/>
  <c r="G102" i="21"/>
  <c r="F102" i="21"/>
  <c r="E102" i="21"/>
  <c r="H102" i="21"/>
  <c r="J102" i="21"/>
  <c r="D121" i="21"/>
  <c r="E121" i="21"/>
  <c r="F121" i="21"/>
  <c r="J121" i="21"/>
  <c r="H121" i="21"/>
  <c r="G121" i="21"/>
  <c r="D259" i="21"/>
  <c r="G259" i="21"/>
  <c r="E259" i="21"/>
  <c r="F259" i="21"/>
  <c r="J259" i="21"/>
  <c r="H259" i="21"/>
  <c r="D37" i="21"/>
  <c r="G37" i="21"/>
  <c r="F37" i="21"/>
  <c r="J37" i="21"/>
  <c r="E37" i="21"/>
  <c r="H37" i="21"/>
  <c r="D273" i="21"/>
  <c r="J273" i="21"/>
  <c r="E273" i="21"/>
  <c r="H273" i="21"/>
  <c r="G273" i="21"/>
  <c r="F273" i="21"/>
  <c r="D221" i="21"/>
  <c r="F221" i="21"/>
  <c r="J221" i="21"/>
  <c r="E221" i="21"/>
  <c r="H221" i="21"/>
  <c r="G221" i="21"/>
  <c r="D107" i="21"/>
  <c r="F107" i="21"/>
  <c r="J107" i="21"/>
  <c r="H107" i="21"/>
  <c r="G107" i="21"/>
  <c r="E107" i="21"/>
  <c r="D232" i="21"/>
  <c r="G232" i="21"/>
  <c r="H232" i="21"/>
  <c r="J232" i="21"/>
  <c r="F232" i="21"/>
  <c r="E232" i="21"/>
  <c r="D198" i="21"/>
  <c r="H198" i="21"/>
  <c r="G198" i="21"/>
  <c r="F198" i="21"/>
  <c r="E198" i="21"/>
  <c r="J198" i="21"/>
  <c r="D268" i="21"/>
  <c r="G268" i="21"/>
  <c r="J268" i="21"/>
  <c r="H268" i="21"/>
  <c r="E268" i="21"/>
  <c r="F268" i="21"/>
  <c r="D127" i="21"/>
  <c r="G127" i="21"/>
  <c r="E127" i="21"/>
  <c r="J127" i="21"/>
  <c r="F127" i="21"/>
  <c r="H127" i="21"/>
  <c r="D226" i="21"/>
  <c r="G226" i="21"/>
  <c r="J226" i="21"/>
  <c r="H226" i="21"/>
  <c r="F226" i="21"/>
  <c r="E226" i="21"/>
  <c r="D191" i="21"/>
  <c r="H191" i="21"/>
  <c r="E191" i="21"/>
  <c r="J191" i="21"/>
  <c r="F191" i="21"/>
  <c r="G191" i="21"/>
  <c r="D135" i="21"/>
  <c r="F135" i="21"/>
  <c r="J135" i="21"/>
  <c r="H135" i="21"/>
  <c r="G135" i="21"/>
  <c r="E135" i="21"/>
  <c r="D122" i="21"/>
  <c r="G122" i="21"/>
  <c r="E122" i="21"/>
  <c r="F122" i="21"/>
  <c r="H122" i="21"/>
  <c r="J122" i="21"/>
  <c r="D256" i="21"/>
  <c r="F256" i="21"/>
  <c r="E256" i="21"/>
  <c r="G256" i="21"/>
  <c r="J256" i="21"/>
  <c r="H256" i="21"/>
  <c r="D269" i="21"/>
  <c r="E269" i="21"/>
  <c r="H269" i="21"/>
  <c r="G269" i="21"/>
  <c r="J269" i="21"/>
  <c r="F269" i="21"/>
  <c r="D159" i="21"/>
  <c r="H159" i="21"/>
  <c r="G159" i="21"/>
  <c r="J159" i="21"/>
  <c r="E159" i="21"/>
  <c r="F159" i="21"/>
  <c r="D223" i="21"/>
  <c r="H223" i="21"/>
  <c r="J223" i="21"/>
  <c r="E223" i="21"/>
  <c r="G223" i="21"/>
  <c r="F223" i="21"/>
  <c r="D21" i="21"/>
  <c r="G21" i="21"/>
  <c r="E21" i="21"/>
  <c r="J21" i="21"/>
  <c r="H21" i="21"/>
  <c r="F21" i="21"/>
  <c r="D208" i="21"/>
  <c r="J208" i="21"/>
  <c r="F208" i="21"/>
  <c r="E208" i="21"/>
  <c r="H208" i="21"/>
  <c r="G208" i="21"/>
  <c r="D188" i="21"/>
  <c r="G188" i="21"/>
  <c r="F188" i="21"/>
  <c r="E188" i="21"/>
  <c r="H188" i="21"/>
  <c r="J188" i="21"/>
  <c r="D130" i="21"/>
  <c r="H130" i="21"/>
  <c r="J130" i="21"/>
  <c r="F130" i="21"/>
  <c r="G130" i="21"/>
  <c r="E130" i="21"/>
  <c r="D113" i="21"/>
  <c r="G113" i="21"/>
  <c r="F113" i="21"/>
  <c r="E113" i="21"/>
  <c r="J113" i="21"/>
  <c r="H113" i="21"/>
  <c r="J13" i="21"/>
  <c r="D13" i="21"/>
  <c r="F13" i="21"/>
  <c r="E13" i="21"/>
  <c r="C308" i="21"/>
  <c r="G13" i="21"/>
  <c r="H13" i="21"/>
  <c r="D20" i="21"/>
  <c r="E20" i="21"/>
  <c r="J20" i="21"/>
  <c r="H20" i="21"/>
  <c r="F20" i="21"/>
  <c r="G20" i="21"/>
  <c r="D67" i="21"/>
  <c r="H67" i="21"/>
  <c r="J67" i="21"/>
  <c r="E67" i="21"/>
  <c r="F67" i="21"/>
  <c r="G67" i="21"/>
  <c r="D64" i="21"/>
  <c r="F64" i="21"/>
  <c r="E64" i="21"/>
  <c r="G64" i="21"/>
  <c r="J64" i="21"/>
  <c r="H64" i="21"/>
  <c r="D60" i="21"/>
  <c r="J60" i="21"/>
  <c r="F60" i="21"/>
  <c r="E60" i="21"/>
  <c r="H60" i="21"/>
  <c r="G60" i="21"/>
  <c r="D142" i="21"/>
  <c r="E142" i="21"/>
  <c r="H142" i="21"/>
  <c r="F142" i="21"/>
  <c r="G142" i="21"/>
  <c r="J142" i="21"/>
  <c r="D31" i="21"/>
  <c r="G31" i="21"/>
  <c r="H31" i="21"/>
  <c r="J31" i="21"/>
  <c r="E31" i="21"/>
  <c r="F31" i="21"/>
  <c r="D53" i="21"/>
  <c r="G53" i="21"/>
  <c r="H53" i="21"/>
  <c r="F53" i="21"/>
  <c r="J53" i="21"/>
  <c r="E53" i="21"/>
  <c r="D150" i="21"/>
  <c r="G150" i="21"/>
  <c r="J150" i="21"/>
  <c r="E150" i="21"/>
  <c r="H150" i="21"/>
  <c r="F150" i="21"/>
  <c r="D180" i="21"/>
  <c r="F180" i="21"/>
  <c r="J180" i="21"/>
  <c r="G180" i="21"/>
  <c r="H180" i="21"/>
  <c r="E180" i="21"/>
  <c r="D293" i="21"/>
  <c r="E293" i="21"/>
  <c r="F293" i="21"/>
  <c r="H293" i="21"/>
  <c r="G293" i="21"/>
  <c r="J293" i="21"/>
  <c r="D248" i="21"/>
  <c r="E248" i="21"/>
  <c r="J248" i="21"/>
  <c r="F248" i="21"/>
  <c r="H248" i="21"/>
  <c r="G248" i="21"/>
  <c r="D209" i="21"/>
  <c r="F209" i="21"/>
  <c r="H209" i="21"/>
  <c r="E209" i="21"/>
  <c r="J209" i="21"/>
  <c r="G209" i="21"/>
  <c r="D89" i="21"/>
  <c r="E89" i="21"/>
  <c r="F89" i="21"/>
  <c r="H89" i="21"/>
  <c r="J89" i="21"/>
  <c r="G89" i="21"/>
  <c r="D179" i="21"/>
  <c r="G179" i="21"/>
  <c r="J179" i="21"/>
  <c r="H179" i="21"/>
  <c r="E179" i="21"/>
  <c r="F179" i="21"/>
  <c r="D245" i="21"/>
  <c r="G245" i="21"/>
  <c r="E245" i="21"/>
  <c r="F245" i="21"/>
  <c r="J245" i="21"/>
  <c r="H245" i="21"/>
  <c r="D124" i="21"/>
  <c r="F124" i="21"/>
  <c r="G124" i="21"/>
  <c r="J124" i="21"/>
  <c r="E124" i="21"/>
  <c r="H124" i="21"/>
  <c r="D262" i="21"/>
  <c r="J262" i="21"/>
  <c r="G262" i="21"/>
  <c r="E262" i="21"/>
  <c r="F262" i="21"/>
  <c r="H262" i="21"/>
  <c r="D220" i="21"/>
  <c r="H220" i="21"/>
  <c r="G220" i="21"/>
  <c r="J220" i="21"/>
  <c r="F220" i="21"/>
  <c r="E220" i="21"/>
  <c r="D282" i="21"/>
  <c r="E282" i="21"/>
  <c r="G282" i="21"/>
  <c r="J282" i="21"/>
  <c r="H282" i="21"/>
  <c r="F282" i="21"/>
  <c r="D274" i="21"/>
  <c r="G274" i="21"/>
  <c r="E274" i="21"/>
  <c r="J274" i="21"/>
  <c r="H274" i="21"/>
  <c r="F274" i="21"/>
  <c r="D109" i="21"/>
  <c r="H109" i="21"/>
  <c r="E109" i="21"/>
  <c r="G109" i="21"/>
  <c r="F109" i="21"/>
  <c r="J109" i="21"/>
  <c r="D70" i="21"/>
  <c r="H70" i="21"/>
  <c r="J70" i="21"/>
  <c r="G70" i="21"/>
  <c r="E70" i="21"/>
  <c r="F70" i="21"/>
  <c r="D148" i="21"/>
  <c r="H148" i="21"/>
  <c r="J148" i="21"/>
  <c r="E148" i="21"/>
  <c r="F148" i="21"/>
  <c r="G148" i="21"/>
  <c r="D138" i="21"/>
  <c r="H138" i="21"/>
  <c r="E138" i="21"/>
  <c r="G138" i="21"/>
  <c r="F138" i="21"/>
  <c r="J138" i="21"/>
  <c r="D36" i="21"/>
  <c r="G36" i="21"/>
  <c r="F36" i="21"/>
  <c r="H36" i="21"/>
  <c r="E36" i="21"/>
  <c r="J36" i="21"/>
  <c r="D215" i="21"/>
  <c r="E215" i="21"/>
  <c r="J215" i="21"/>
  <c r="G215" i="21"/>
  <c r="F215" i="21"/>
  <c r="H215" i="21"/>
  <c r="D175" i="21"/>
  <c r="F175" i="21"/>
  <c r="J175" i="21"/>
  <c r="G175" i="21"/>
  <c r="H175" i="21"/>
  <c r="E175" i="21"/>
  <c r="D81" i="21"/>
  <c r="E81" i="21"/>
  <c r="G81" i="21"/>
  <c r="H81" i="21"/>
  <c r="J81" i="21"/>
  <c r="F81" i="21"/>
  <c r="D162" i="21"/>
  <c r="J162" i="21"/>
  <c r="G162" i="21"/>
  <c r="F162" i="21"/>
  <c r="H162" i="21"/>
  <c r="E162" i="21"/>
  <c r="D281" i="21"/>
  <c r="E281" i="21"/>
  <c r="F281" i="21"/>
  <c r="G281" i="21"/>
  <c r="H281" i="21"/>
  <c r="J281" i="21"/>
  <c r="D199" i="21"/>
  <c r="H199" i="21"/>
  <c r="E199" i="21"/>
  <c r="F199" i="21"/>
  <c r="J199" i="21"/>
  <c r="G199" i="21"/>
  <c r="D242" i="21"/>
  <c r="H242" i="21"/>
  <c r="G242" i="21"/>
  <c r="J242" i="21"/>
  <c r="E242" i="21"/>
  <c r="F242" i="21"/>
  <c r="D197" i="21"/>
  <c r="E197" i="21"/>
  <c r="F197" i="21"/>
  <c r="G197" i="21"/>
  <c r="J197" i="21"/>
  <c r="H197" i="21"/>
  <c r="D304" i="21"/>
  <c r="J304" i="21"/>
  <c r="E304" i="21"/>
  <c r="H304" i="21"/>
  <c r="G304" i="21"/>
  <c r="F304" i="21"/>
  <c r="D92" i="21"/>
  <c r="G92" i="21"/>
  <c r="J92" i="21"/>
  <c r="H92" i="21"/>
  <c r="F92" i="21"/>
  <c r="E92" i="21"/>
  <c r="D187" i="21"/>
  <c r="J187" i="21"/>
  <c r="F187" i="21"/>
  <c r="E187" i="21"/>
  <c r="H187" i="21"/>
  <c r="G187" i="21"/>
  <c r="D176" i="21"/>
  <c r="G176" i="21"/>
  <c r="E176" i="21"/>
  <c r="J176" i="21"/>
  <c r="F176" i="21"/>
  <c r="H176" i="21"/>
  <c r="D41" i="21"/>
  <c r="G41" i="21"/>
  <c r="J41" i="21"/>
  <c r="E41" i="21"/>
  <c r="H41" i="21"/>
  <c r="F41" i="21"/>
  <c r="D252" i="21"/>
  <c r="E252" i="21"/>
  <c r="G252" i="21"/>
  <c r="J252" i="21"/>
  <c r="H252" i="21"/>
  <c r="F252" i="21"/>
  <c r="C308" i="9"/>
  <c r="D283" i="21"/>
  <c r="G283" i="21"/>
  <c r="H283" i="21"/>
  <c r="J283" i="21"/>
  <c r="E283" i="21"/>
  <c r="F283" i="21"/>
  <c r="D43" i="21"/>
  <c r="G43" i="21"/>
  <c r="F43" i="21"/>
  <c r="E43" i="21"/>
  <c r="H43" i="21"/>
  <c r="J43" i="21"/>
  <c r="D48" i="21"/>
  <c r="F48" i="21"/>
  <c r="G48" i="21"/>
  <c r="E48" i="21"/>
  <c r="H48" i="21"/>
  <c r="J48" i="21"/>
  <c r="D114" i="21"/>
  <c r="J114" i="21"/>
  <c r="E114" i="21"/>
  <c r="G114" i="21"/>
  <c r="F114" i="21"/>
  <c r="H114" i="21"/>
  <c r="D133" i="21"/>
  <c r="E133" i="21"/>
  <c r="G133" i="21"/>
  <c r="F133" i="21"/>
  <c r="J133" i="21"/>
  <c r="H133" i="21"/>
  <c r="D115" i="21"/>
  <c r="G115" i="21"/>
  <c r="E115" i="21"/>
  <c r="J115" i="21"/>
  <c r="H115" i="21"/>
  <c r="F115" i="21"/>
  <c r="D174" i="21"/>
  <c r="G174" i="21"/>
  <c r="E174" i="21"/>
  <c r="F174" i="21"/>
  <c r="H174" i="21"/>
  <c r="J174" i="21"/>
  <c r="D51" i="21"/>
  <c r="F51" i="21"/>
  <c r="J51" i="21"/>
  <c r="H51" i="21"/>
  <c r="G51" i="21"/>
  <c r="E51" i="21"/>
  <c r="D253" i="21"/>
  <c r="E253" i="21"/>
  <c r="S8" i="45" s="1"/>
  <c r="F253" i="21"/>
  <c r="S9" i="45" s="1"/>
  <c r="J253" i="21"/>
  <c r="S13" i="45" s="1"/>
  <c r="G253" i="21"/>
  <c r="S10" i="45" s="1"/>
  <c r="H253" i="21"/>
  <c r="S11" i="45" s="1"/>
  <c r="D285" i="21"/>
  <c r="G285" i="21"/>
  <c r="F285" i="21"/>
  <c r="J285" i="21"/>
  <c r="E285" i="21"/>
  <c r="H285" i="21"/>
  <c r="D227" i="21"/>
  <c r="G227" i="21"/>
  <c r="E227" i="21"/>
  <c r="H227" i="21"/>
  <c r="J227" i="21"/>
  <c r="F227" i="21"/>
  <c r="D98" i="21"/>
  <c r="G98" i="21"/>
  <c r="E98" i="21"/>
  <c r="H98" i="21"/>
  <c r="J98" i="21"/>
  <c r="F98" i="21"/>
  <c r="D136" i="21"/>
  <c r="H136" i="21"/>
  <c r="F136" i="21"/>
  <c r="E136" i="21"/>
  <c r="J136" i="21"/>
  <c r="G136" i="21"/>
  <c r="D99" i="21"/>
  <c r="F99" i="21"/>
  <c r="H99" i="21"/>
  <c r="J99" i="21"/>
  <c r="G99" i="21"/>
  <c r="E99" i="21"/>
  <c r="D225" i="21"/>
  <c r="J225" i="21"/>
  <c r="E225" i="21"/>
  <c r="F225" i="21"/>
  <c r="H225" i="21"/>
  <c r="G225" i="21"/>
  <c r="D38" i="21"/>
  <c r="G38" i="21"/>
  <c r="J38" i="21"/>
  <c r="F38" i="21"/>
  <c r="H38" i="21"/>
  <c r="E38" i="21"/>
  <c r="D237" i="21"/>
  <c r="G237" i="21"/>
  <c r="F237" i="21"/>
  <c r="E237" i="21"/>
  <c r="H237" i="21"/>
  <c r="J237" i="21"/>
  <c r="D69" i="21"/>
  <c r="J69" i="21"/>
  <c r="H69" i="21"/>
  <c r="F69" i="21"/>
  <c r="G69" i="21"/>
  <c r="E69" i="21"/>
  <c r="D62" i="21"/>
  <c r="H62" i="21"/>
  <c r="J62" i="21"/>
  <c r="G62" i="21"/>
  <c r="F62" i="21"/>
  <c r="E62" i="21"/>
  <c r="D26" i="21"/>
  <c r="F26" i="21"/>
  <c r="G26" i="21"/>
  <c r="J26" i="21"/>
  <c r="H26" i="21"/>
  <c r="E26" i="21"/>
  <c r="D120" i="21"/>
  <c r="G120" i="21"/>
  <c r="E120" i="21"/>
  <c r="H120" i="21"/>
  <c r="J120" i="21"/>
  <c r="F120" i="21"/>
  <c r="D145" i="21"/>
  <c r="G145" i="21"/>
  <c r="H145" i="21"/>
  <c r="F145" i="21"/>
  <c r="E145" i="21"/>
  <c r="J145" i="21"/>
  <c r="D106" i="21"/>
  <c r="F106" i="21"/>
  <c r="E106" i="21"/>
  <c r="G106" i="21"/>
  <c r="H106" i="21"/>
  <c r="J106" i="21"/>
  <c r="D277" i="21"/>
  <c r="F277" i="21"/>
  <c r="H277" i="21"/>
  <c r="J277" i="21"/>
  <c r="G277" i="21"/>
  <c r="E277" i="21"/>
  <c r="D144" i="21"/>
  <c r="G144" i="21"/>
  <c r="F144" i="21"/>
  <c r="J144" i="21"/>
  <c r="H144" i="21"/>
  <c r="E144" i="21"/>
  <c r="D149" i="21"/>
  <c r="E149" i="21"/>
  <c r="H149" i="21"/>
  <c r="J149" i="21"/>
  <c r="F149" i="21"/>
  <c r="G149" i="21"/>
  <c r="D85" i="21"/>
  <c r="J85" i="21"/>
  <c r="E85" i="21"/>
  <c r="G85" i="21"/>
  <c r="H85" i="21"/>
  <c r="F85" i="21"/>
  <c r="D296" i="21"/>
  <c r="G296" i="21"/>
  <c r="J296" i="21"/>
  <c r="H296" i="21"/>
  <c r="E296" i="21"/>
  <c r="F296" i="21"/>
  <c r="D158" i="21"/>
  <c r="E158" i="21"/>
  <c r="H158" i="21"/>
  <c r="F158" i="21"/>
  <c r="J158" i="21"/>
  <c r="G158" i="21"/>
  <c r="D128" i="21"/>
  <c r="G128" i="21"/>
  <c r="F128" i="21"/>
  <c r="E128" i="21"/>
  <c r="H128" i="21"/>
  <c r="J128" i="21"/>
  <c r="D156" i="21"/>
  <c r="F156" i="21"/>
  <c r="H156" i="21"/>
  <c r="J156" i="21"/>
  <c r="G156" i="21"/>
  <c r="E156" i="21"/>
  <c r="D236" i="21"/>
  <c r="E236" i="21"/>
  <c r="J236" i="21"/>
  <c r="G236" i="21"/>
  <c r="H236" i="21"/>
  <c r="F236" i="21"/>
  <c r="D292" i="21"/>
  <c r="E292" i="21"/>
  <c r="H292" i="21"/>
  <c r="G292" i="21"/>
  <c r="F292" i="21"/>
  <c r="J292" i="21"/>
  <c r="D210" i="21"/>
  <c r="F210" i="21"/>
  <c r="J210" i="21"/>
  <c r="E210" i="21"/>
  <c r="H210" i="21"/>
  <c r="G210" i="21"/>
  <c r="D202" i="21"/>
  <c r="F202" i="21"/>
  <c r="H202" i="21"/>
  <c r="E202" i="21"/>
  <c r="J202" i="21"/>
  <c r="G202" i="21"/>
  <c r="D266" i="21"/>
  <c r="E266" i="21"/>
  <c r="H266" i="21"/>
  <c r="F266" i="21"/>
  <c r="G266" i="21"/>
  <c r="J266" i="21"/>
  <c r="D132" i="21"/>
  <c r="J132" i="21"/>
  <c r="F132" i="21"/>
  <c r="G132" i="21"/>
  <c r="E132" i="21"/>
  <c r="H132" i="21"/>
  <c r="D258" i="21"/>
  <c r="G258" i="21"/>
  <c r="F258" i="21"/>
  <c r="H258" i="21"/>
  <c r="J258" i="21"/>
  <c r="E258" i="21"/>
  <c r="D153" i="21"/>
  <c r="F153" i="21"/>
  <c r="J153" i="21"/>
  <c r="E153" i="21"/>
  <c r="H153" i="21"/>
  <c r="G153" i="21"/>
  <c r="D250" i="21"/>
  <c r="E250" i="21"/>
  <c r="H250" i="21"/>
  <c r="F250" i="21"/>
  <c r="G250" i="21"/>
  <c r="J250" i="21"/>
  <c r="D91" i="21"/>
  <c r="E91" i="21"/>
  <c r="J91" i="21"/>
  <c r="H91" i="21"/>
  <c r="G91" i="21"/>
  <c r="F91" i="21"/>
  <c r="D228" i="21"/>
  <c r="G228" i="21"/>
  <c r="H228" i="21"/>
  <c r="J228" i="21"/>
  <c r="E228" i="21"/>
  <c r="F228" i="21"/>
  <c r="D260" i="21"/>
  <c r="G260" i="21"/>
  <c r="J260" i="21"/>
  <c r="E260" i="21"/>
  <c r="F260" i="21"/>
  <c r="H260" i="21"/>
  <c r="D178" i="21"/>
  <c r="E178" i="21"/>
  <c r="F178" i="21"/>
  <c r="J178" i="21"/>
  <c r="G178" i="21"/>
  <c r="H178" i="21"/>
  <c r="D183" i="21"/>
  <c r="G183" i="21"/>
  <c r="J183" i="21"/>
  <c r="F183" i="21"/>
  <c r="H183" i="21"/>
  <c r="E183" i="21"/>
  <c r="D284" i="21"/>
  <c r="H284" i="21"/>
  <c r="J284" i="21"/>
  <c r="F284" i="21"/>
  <c r="E284" i="21"/>
  <c r="G284" i="21"/>
  <c r="D32" i="21"/>
  <c r="F32" i="21"/>
  <c r="H32" i="21"/>
  <c r="G32" i="21"/>
  <c r="J32" i="21"/>
  <c r="E32" i="21"/>
  <c r="D182" i="21"/>
  <c r="H182" i="21"/>
  <c r="J182" i="21"/>
  <c r="E182" i="21"/>
  <c r="G182" i="21"/>
  <c r="F182" i="21"/>
  <c r="D168" i="21"/>
  <c r="G168" i="21"/>
  <c r="F168" i="21"/>
  <c r="H168" i="21"/>
  <c r="J168" i="21"/>
  <c r="E168" i="21"/>
  <c r="D243" i="21"/>
  <c r="E243" i="21"/>
  <c r="F243" i="21"/>
  <c r="J243" i="21"/>
  <c r="H243" i="21"/>
  <c r="G243" i="21"/>
  <c r="D35" i="21"/>
  <c r="F35" i="21"/>
  <c r="H35" i="21"/>
  <c r="G35" i="21"/>
  <c r="J35" i="21"/>
  <c r="E35" i="21"/>
  <c r="D40" i="21"/>
  <c r="J40" i="21"/>
  <c r="E40" i="21"/>
  <c r="H40" i="21"/>
  <c r="F40" i="21"/>
  <c r="G40" i="21"/>
  <c r="D30" i="21"/>
  <c r="J30" i="21"/>
  <c r="F30" i="21"/>
  <c r="G30" i="21"/>
  <c r="H30" i="21"/>
  <c r="E30" i="21"/>
  <c r="D104" i="21"/>
  <c r="J104" i="21"/>
  <c r="E104" i="21"/>
  <c r="H104" i="21"/>
  <c r="G104" i="21"/>
  <c r="F104" i="21"/>
  <c r="D224" i="21"/>
  <c r="G224" i="21"/>
  <c r="H224" i="21"/>
  <c r="J224" i="21"/>
  <c r="F224" i="21"/>
  <c r="E224" i="21"/>
  <c r="D185" i="21"/>
  <c r="J185" i="21"/>
  <c r="F185" i="21"/>
  <c r="G185" i="21"/>
  <c r="H185" i="21"/>
  <c r="E185" i="21"/>
  <c r="D77" i="21"/>
  <c r="J77" i="21"/>
  <c r="G77" i="21"/>
  <c r="F77" i="21"/>
  <c r="H77" i="21"/>
  <c r="E77" i="21"/>
  <c r="D25" i="21"/>
  <c r="E25" i="21"/>
  <c r="J25" i="21"/>
  <c r="H25" i="21"/>
  <c r="G25" i="21"/>
  <c r="F25" i="21"/>
  <c r="D101" i="21"/>
  <c r="G101" i="21"/>
  <c r="J101" i="21"/>
  <c r="F101" i="21"/>
  <c r="E101" i="21"/>
  <c r="H101" i="21"/>
  <c r="D83" i="21"/>
  <c r="H83" i="21"/>
  <c r="J83" i="21"/>
  <c r="E83" i="21"/>
  <c r="F83" i="21"/>
  <c r="G83" i="21"/>
  <c r="D206" i="21"/>
  <c r="J206" i="21"/>
  <c r="H206" i="21"/>
  <c r="F206" i="21"/>
  <c r="G206" i="21"/>
  <c r="E206" i="21"/>
  <c r="D80" i="21"/>
  <c r="G80" i="21"/>
  <c r="E80" i="21"/>
  <c r="F80" i="21"/>
  <c r="J80" i="21"/>
  <c r="H80" i="21"/>
  <c r="D213" i="21"/>
  <c r="E213" i="21"/>
  <c r="H213" i="21"/>
  <c r="J213" i="21"/>
  <c r="G213" i="21"/>
  <c r="F213" i="21"/>
  <c r="D166" i="21"/>
  <c r="E166" i="21"/>
  <c r="G166" i="21"/>
  <c r="F166" i="21"/>
  <c r="J166" i="21"/>
  <c r="H166" i="21"/>
  <c r="D86" i="21"/>
  <c r="G86" i="21"/>
  <c r="H86" i="21"/>
  <c r="J86" i="21"/>
  <c r="E86" i="21"/>
  <c r="F86" i="21"/>
  <c r="D76" i="21"/>
  <c r="G76" i="21"/>
  <c r="F76" i="21"/>
  <c r="E76" i="21"/>
  <c r="H76" i="21"/>
  <c r="J76" i="21"/>
  <c r="D173" i="21"/>
  <c r="E173" i="21"/>
  <c r="J173" i="21"/>
  <c r="F173" i="21"/>
  <c r="H173" i="21"/>
  <c r="G173" i="21"/>
  <c r="D193" i="21"/>
  <c r="H193" i="21"/>
  <c r="J193" i="21"/>
  <c r="G193" i="21"/>
  <c r="E193" i="21"/>
  <c r="F193" i="21"/>
  <c r="D257" i="21"/>
  <c r="H257" i="21"/>
  <c r="G257" i="21"/>
  <c r="E257" i="21"/>
  <c r="J257" i="21"/>
  <c r="F257" i="21"/>
  <c r="D278" i="21"/>
  <c r="H278" i="21"/>
  <c r="G278" i="21"/>
  <c r="E278" i="21"/>
  <c r="F278" i="21"/>
  <c r="J278" i="21"/>
  <c r="D218" i="21"/>
  <c r="G218" i="21"/>
  <c r="F218" i="21"/>
  <c r="J218" i="21"/>
  <c r="H218" i="21"/>
  <c r="E218" i="21"/>
  <c r="D95" i="21"/>
  <c r="F95" i="21"/>
  <c r="G95" i="21"/>
  <c r="E95" i="21"/>
  <c r="H95" i="21"/>
  <c r="J95" i="21"/>
  <c r="D146" i="21"/>
  <c r="J146" i="21"/>
  <c r="E146" i="21"/>
  <c r="H146" i="21"/>
  <c r="G146" i="21"/>
  <c r="F146" i="21"/>
  <c r="D90" i="21"/>
  <c r="E90" i="21"/>
  <c r="H90" i="21"/>
  <c r="J90" i="21"/>
  <c r="G90" i="21"/>
  <c r="F90" i="21"/>
  <c r="D255" i="21"/>
  <c r="F255" i="21"/>
  <c r="E255" i="21"/>
  <c r="H255" i="21"/>
  <c r="G255" i="21"/>
  <c r="J255" i="21"/>
  <c r="D201" i="21"/>
  <c r="E201" i="21"/>
  <c r="H201" i="21"/>
  <c r="J201" i="21"/>
  <c r="F201" i="21"/>
  <c r="G201" i="21"/>
  <c r="D84" i="21"/>
  <c r="H84" i="21"/>
  <c r="J84" i="21"/>
  <c r="G84" i="21"/>
  <c r="E84" i="21"/>
  <c r="F84" i="21"/>
  <c r="D194" i="21"/>
  <c r="H194" i="21"/>
  <c r="G194" i="21"/>
  <c r="F194" i="21"/>
  <c r="E194" i="21"/>
  <c r="J194" i="21"/>
  <c r="D103" i="21"/>
  <c r="G103" i="21"/>
  <c r="H103" i="21"/>
  <c r="J103" i="21"/>
  <c r="E103" i="21"/>
  <c r="F103" i="21"/>
  <c r="D169" i="21"/>
  <c r="E169" i="21"/>
  <c r="J169" i="21"/>
  <c r="G169" i="21"/>
  <c r="F169" i="21"/>
  <c r="H169" i="21"/>
  <c r="D164" i="21"/>
  <c r="F164" i="21"/>
  <c r="J164" i="21"/>
  <c r="H164" i="21"/>
  <c r="G164" i="21"/>
  <c r="E164" i="21"/>
  <c r="D163" i="21"/>
  <c r="E163" i="21"/>
  <c r="F163" i="21"/>
  <c r="H163" i="21"/>
  <c r="G163" i="21"/>
  <c r="J163" i="21"/>
  <c r="D111" i="21"/>
  <c r="G111" i="21"/>
  <c r="E111" i="21"/>
  <c r="F111" i="21"/>
  <c r="H111" i="21"/>
  <c r="J111" i="21"/>
  <c r="D244" i="21"/>
  <c r="E244" i="21"/>
  <c r="F244" i="21"/>
  <c r="G244" i="21"/>
  <c r="H244" i="21"/>
  <c r="J244" i="21"/>
  <c r="L73" i="21" l="1"/>
  <c r="L244" i="21"/>
  <c r="L169" i="21"/>
  <c r="L201" i="21"/>
  <c r="L95" i="21"/>
  <c r="L233" i="21"/>
  <c r="L214" i="21"/>
  <c r="L129" i="21"/>
  <c r="L270" i="21"/>
  <c r="L18" i="21"/>
  <c r="L78" i="21"/>
  <c r="L115" i="21"/>
  <c r="L43" i="21"/>
  <c r="L269" i="21"/>
  <c r="L250" i="21"/>
  <c r="L266" i="21"/>
  <c r="L236" i="21"/>
  <c r="L296" i="21"/>
  <c r="L277" i="21"/>
  <c r="L26" i="21"/>
  <c r="L157" i="21"/>
  <c r="L203" i="21"/>
  <c r="L163" i="21"/>
  <c r="L194" i="21"/>
  <c r="L90" i="21"/>
  <c r="L191" i="21"/>
  <c r="L273" i="21"/>
  <c r="L102" i="21"/>
  <c r="L68" i="21"/>
  <c r="L15" i="21"/>
  <c r="L88" i="21"/>
  <c r="L217" i="21"/>
  <c r="L54" i="21"/>
  <c r="L185" i="21"/>
  <c r="L178" i="21"/>
  <c r="L38" i="21"/>
  <c r="L98" i="21"/>
  <c r="L130" i="21"/>
  <c r="L223" i="21"/>
  <c r="L122" i="21"/>
  <c r="L127" i="21"/>
  <c r="L107" i="21"/>
  <c r="L152" i="21"/>
  <c r="L83" i="21"/>
  <c r="L182" i="21"/>
  <c r="L166" i="21"/>
  <c r="L193" i="21"/>
  <c r="L40" i="21"/>
  <c r="L33" i="21"/>
  <c r="L231" i="21"/>
  <c r="L196" i="21"/>
  <c r="L272" i="21"/>
  <c r="L82" i="21"/>
  <c r="L241" i="21"/>
  <c r="L55" i="21"/>
  <c r="L87" i="21"/>
  <c r="L289" i="21"/>
  <c r="L263" i="21"/>
  <c r="L218" i="21"/>
  <c r="L224" i="21"/>
  <c r="L85" i="21"/>
  <c r="L106" i="21"/>
  <c r="L62" i="21"/>
  <c r="L225" i="21"/>
  <c r="L227" i="21"/>
  <c r="L290" i="21"/>
  <c r="L111" i="21"/>
  <c r="L255" i="21"/>
  <c r="L173" i="21"/>
  <c r="L51" i="21"/>
  <c r="L114" i="21"/>
  <c r="L259" i="21"/>
  <c r="L288" i="21"/>
  <c r="L200" i="21"/>
  <c r="L29" i="21"/>
  <c r="L298" i="21"/>
  <c r="L247" i="21"/>
  <c r="L170" i="21"/>
  <c r="L143" i="21"/>
  <c r="L171" i="21"/>
  <c r="L123" i="21"/>
  <c r="L299" i="21"/>
  <c r="L14" i="21"/>
  <c r="L155" i="21"/>
  <c r="L108" i="21"/>
  <c r="L251" i="21"/>
  <c r="L252" i="21"/>
  <c r="L92" i="21"/>
  <c r="L199" i="21"/>
  <c r="L175" i="21"/>
  <c r="L148" i="21"/>
  <c r="L282" i="21"/>
  <c r="L245" i="21"/>
  <c r="L248" i="21"/>
  <c r="L53" i="21"/>
  <c r="L64" i="21"/>
  <c r="L219" i="21"/>
  <c r="L265" i="21"/>
  <c r="L100" i="21"/>
  <c r="L74" i="21"/>
  <c r="L49" i="21"/>
  <c r="L189" i="21"/>
  <c r="L280" i="21"/>
  <c r="L84" i="21"/>
  <c r="L86" i="21"/>
  <c r="L77" i="21"/>
  <c r="L30" i="21"/>
  <c r="L91" i="21"/>
  <c r="L292" i="21"/>
  <c r="L144" i="21"/>
  <c r="L120" i="21"/>
  <c r="L237" i="21"/>
  <c r="L136" i="21"/>
  <c r="S7" i="45"/>
  <c r="U7" i="45" s="1"/>
  <c r="L253" i="21"/>
  <c r="L133" i="21"/>
  <c r="L283" i="21"/>
  <c r="L113" i="21"/>
  <c r="L21" i="21"/>
  <c r="L256" i="21"/>
  <c r="L226" i="21"/>
  <c r="L232" i="21"/>
  <c r="L37" i="21"/>
  <c r="L246" i="21"/>
  <c r="L161" i="21"/>
  <c r="L302" i="21"/>
  <c r="L131" i="21"/>
  <c r="L22" i="21"/>
  <c r="L116" i="21"/>
  <c r="L39" i="21"/>
  <c r="L192" i="21"/>
  <c r="L172" i="21"/>
  <c r="L110" i="21"/>
  <c r="L125" i="21"/>
  <c r="L160" i="21"/>
  <c r="L177" i="21"/>
  <c r="L71" i="21"/>
  <c r="L303" i="21"/>
  <c r="L52" i="21"/>
  <c r="L275" i="21"/>
  <c r="L97" i="21"/>
  <c r="L212" i="21"/>
  <c r="L105" i="21"/>
  <c r="L16" i="21"/>
  <c r="L66" i="21"/>
  <c r="L44" i="21"/>
  <c r="L229" i="21"/>
  <c r="L211" i="21"/>
  <c r="L235" i="21"/>
  <c r="L164" i="21"/>
  <c r="L146" i="21"/>
  <c r="L257" i="21"/>
  <c r="L206" i="21"/>
  <c r="L168" i="21"/>
  <c r="L183" i="21"/>
  <c r="L132" i="21"/>
  <c r="L158" i="21"/>
  <c r="L187" i="21"/>
  <c r="L242" i="21"/>
  <c r="L81" i="21"/>
  <c r="L138" i="21"/>
  <c r="L274" i="21"/>
  <c r="L124" i="21"/>
  <c r="L209" i="21"/>
  <c r="L150" i="21"/>
  <c r="L60" i="21"/>
  <c r="L13" i="21"/>
  <c r="L216" i="21"/>
  <c r="L276" i="21"/>
  <c r="L167" i="21"/>
  <c r="L254" i="21"/>
  <c r="L50" i="21"/>
  <c r="L261" i="21"/>
  <c r="L65" i="21"/>
  <c r="L94" i="21"/>
  <c r="L147" i="21"/>
  <c r="L195" i="21"/>
  <c r="L278" i="21"/>
  <c r="L80" i="21"/>
  <c r="L104" i="21"/>
  <c r="L243" i="21"/>
  <c r="L228" i="21"/>
  <c r="L210" i="21"/>
  <c r="L128" i="21"/>
  <c r="L149" i="21"/>
  <c r="L145" i="21"/>
  <c r="L69" i="21"/>
  <c r="L99" i="21"/>
  <c r="L285" i="21"/>
  <c r="L208" i="21"/>
  <c r="L198" i="21"/>
  <c r="L186" i="21"/>
  <c r="L151" i="21"/>
  <c r="L207" i="21"/>
  <c r="L134" i="21"/>
  <c r="L249" i="21"/>
  <c r="L205" i="21"/>
  <c r="L238" i="21"/>
  <c r="L24" i="21"/>
  <c r="L190" i="21"/>
  <c r="L76" i="21"/>
  <c r="L25" i="21"/>
  <c r="L284" i="21"/>
  <c r="L258" i="21"/>
  <c r="L176" i="21"/>
  <c r="L197" i="21"/>
  <c r="L162" i="21"/>
  <c r="L36" i="21"/>
  <c r="L109" i="21"/>
  <c r="L262" i="21"/>
  <c r="L89" i="21"/>
  <c r="L180" i="21"/>
  <c r="L142" i="21"/>
  <c r="L20" i="21"/>
  <c r="L93" i="21"/>
  <c r="L240" i="21"/>
  <c r="L204" i="21"/>
  <c r="L301" i="21"/>
  <c r="L118" i="21"/>
  <c r="L294" i="21"/>
  <c r="L184" i="21"/>
  <c r="L141" i="21"/>
  <c r="L222" i="21"/>
  <c r="L181" i="21"/>
  <c r="L112" i="21"/>
  <c r="L117" i="21"/>
  <c r="L103" i="21"/>
  <c r="L213" i="21"/>
  <c r="L32" i="21"/>
  <c r="L153" i="21"/>
  <c r="L156" i="21"/>
  <c r="L174" i="21"/>
  <c r="L48" i="21"/>
  <c r="L188" i="21"/>
  <c r="L159" i="21"/>
  <c r="L135" i="21"/>
  <c r="L268" i="21"/>
  <c r="L221" i="21"/>
  <c r="L121" i="21"/>
  <c r="L165" i="21"/>
  <c r="L307" i="21"/>
  <c r="L58" i="21"/>
  <c r="L300" i="21"/>
  <c r="L96" i="21"/>
  <c r="L119" i="21"/>
  <c r="L239" i="21"/>
  <c r="L271" i="21"/>
  <c r="L46" i="21"/>
  <c r="L291" i="21"/>
  <c r="L42" i="21"/>
  <c r="L59" i="21"/>
  <c r="L75" i="21"/>
  <c r="L79" i="21"/>
  <c r="L234" i="21"/>
  <c r="L287" i="21"/>
  <c r="L34" i="21"/>
  <c r="L154" i="21"/>
  <c r="L230" i="21"/>
  <c r="L19" i="21"/>
  <c r="L264" i="21"/>
  <c r="L305" i="21"/>
  <c r="L23" i="21"/>
  <c r="L297" i="21"/>
  <c r="L101" i="21"/>
  <c r="L35" i="21"/>
  <c r="L260" i="21"/>
  <c r="L202" i="21"/>
  <c r="L41" i="21"/>
  <c r="L304" i="21"/>
  <c r="L281" i="21"/>
  <c r="L215" i="21"/>
  <c r="L70" i="21"/>
  <c r="L220" i="21"/>
  <c r="L179" i="21"/>
  <c r="L293" i="21"/>
  <c r="L31" i="21"/>
  <c r="L67" i="21"/>
  <c r="L286" i="21"/>
  <c r="L295" i="21"/>
  <c r="L306" i="21"/>
  <c r="L137" i="21"/>
  <c r="L279" i="21"/>
  <c r="L140" i="21"/>
  <c r="L28" i="21"/>
  <c r="L126" i="21"/>
  <c r="L57" i="21"/>
  <c r="L27" i="21"/>
  <c r="T9" i="21"/>
  <c r="U9" i="21" s="1"/>
  <c r="L9" i="55" s="1"/>
  <c r="T73" i="21"/>
  <c r="U73" i="21" s="1"/>
  <c r="L73" i="55" s="1"/>
  <c r="T137" i="21"/>
  <c r="U137" i="21" s="1"/>
  <c r="L137" i="55" s="1"/>
  <c r="T201" i="21"/>
  <c r="U201" i="21" s="1"/>
  <c r="L201" i="55" s="1"/>
  <c r="T265" i="21"/>
  <c r="U265" i="21" s="1"/>
  <c r="L265" i="55" s="1"/>
  <c r="T18" i="21"/>
  <c r="U18" i="21" s="1"/>
  <c r="L18" i="55" s="1"/>
  <c r="T82" i="21"/>
  <c r="U82" i="21" s="1"/>
  <c r="L82" i="55" s="1"/>
  <c r="T146" i="21"/>
  <c r="U146" i="21" s="1"/>
  <c r="L146" i="55" s="1"/>
  <c r="T210" i="21"/>
  <c r="U210" i="21" s="1"/>
  <c r="L210" i="55" s="1"/>
  <c r="T274" i="21"/>
  <c r="T27" i="21"/>
  <c r="U27" i="21" s="1"/>
  <c r="L27" i="55" s="1"/>
  <c r="T91" i="21"/>
  <c r="U91" i="21" s="1"/>
  <c r="L91" i="55" s="1"/>
  <c r="T155" i="21"/>
  <c r="U155" i="21" s="1"/>
  <c r="L155" i="55" s="1"/>
  <c r="T219" i="21"/>
  <c r="U219" i="21" s="1"/>
  <c r="L219" i="55" s="1"/>
  <c r="T283" i="21"/>
  <c r="U283" i="21" s="1"/>
  <c r="L283" i="55" s="1"/>
  <c r="T36" i="21"/>
  <c r="U36" i="21" s="1"/>
  <c r="L36" i="55" s="1"/>
  <c r="T100" i="21"/>
  <c r="U100" i="21" s="1"/>
  <c r="L100" i="55" s="1"/>
  <c r="T164" i="21"/>
  <c r="U164" i="21" s="1"/>
  <c r="L164" i="55" s="1"/>
  <c r="T228" i="21"/>
  <c r="U228" i="21" s="1"/>
  <c r="L228" i="55" s="1"/>
  <c r="T292" i="21"/>
  <c r="U292" i="21" s="1"/>
  <c r="L292" i="55" s="1"/>
  <c r="T45" i="21"/>
  <c r="U45" i="21" s="1"/>
  <c r="L45" i="55" s="1"/>
  <c r="T109" i="21"/>
  <c r="U109" i="21" s="1"/>
  <c r="L109" i="55" s="1"/>
  <c r="T173" i="21"/>
  <c r="U173" i="21" s="1"/>
  <c r="L173" i="55" s="1"/>
  <c r="T237" i="21"/>
  <c r="U237" i="21" s="1"/>
  <c r="L237" i="55" s="1"/>
  <c r="T301" i="21"/>
  <c r="U301" i="21" s="1"/>
  <c r="L301" i="55" s="1"/>
  <c r="T22" i="21"/>
  <c r="U22" i="21" s="1"/>
  <c r="L22" i="55" s="1"/>
  <c r="T86" i="21"/>
  <c r="U86" i="21" s="1"/>
  <c r="L86" i="55" s="1"/>
  <c r="T150" i="21"/>
  <c r="U150" i="21" s="1"/>
  <c r="L150" i="55" s="1"/>
  <c r="T214" i="21"/>
  <c r="U214" i="21" s="1"/>
  <c r="L214" i="55" s="1"/>
  <c r="T278" i="21"/>
  <c r="U278" i="21" s="1"/>
  <c r="L278" i="55" s="1"/>
  <c r="T112" i="21"/>
  <c r="U112" i="21" s="1"/>
  <c r="L112" i="55" s="1"/>
  <c r="T39" i="21"/>
  <c r="U39" i="21" s="1"/>
  <c r="L39" i="55" s="1"/>
  <c r="T103" i="21"/>
  <c r="U103" i="21" s="1"/>
  <c r="L103" i="55" s="1"/>
  <c r="T167" i="21"/>
  <c r="U167" i="21" s="1"/>
  <c r="L167" i="55" s="1"/>
  <c r="T231" i="21"/>
  <c r="U231" i="21" s="1"/>
  <c r="L231" i="55" s="1"/>
  <c r="T295" i="21"/>
  <c r="U295" i="21" s="1"/>
  <c r="L295" i="55" s="1"/>
  <c r="T184" i="21"/>
  <c r="U184" i="21" s="1"/>
  <c r="L184" i="55" s="1"/>
  <c r="T232" i="21"/>
  <c r="U232" i="21" s="1"/>
  <c r="L232" i="55" s="1"/>
  <c r="T121" i="21"/>
  <c r="U121" i="21" s="1"/>
  <c r="L121" i="55" s="1"/>
  <c r="T203" i="21"/>
  <c r="U203" i="21" s="1"/>
  <c r="L203" i="55" s="1"/>
  <c r="T212" i="21"/>
  <c r="U212" i="21" s="1"/>
  <c r="L212" i="55" s="1"/>
  <c r="T152" i="21"/>
  <c r="U152" i="21" s="1"/>
  <c r="L152" i="55" s="1"/>
  <c r="T88" i="21"/>
  <c r="U88" i="21" s="1"/>
  <c r="L88" i="55" s="1"/>
  <c r="T208" i="21"/>
  <c r="U208" i="21" s="1"/>
  <c r="L208" i="55" s="1"/>
  <c r="T193" i="21"/>
  <c r="U193" i="21" s="1"/>
  <c r="L193" i="55" s="1"/>
  <c r="T138" i="21"/>
  <c r="U138" i="21" s="1"/>
  <c r="L138" i="55" s="1"/>
  <c r="T19" i="21"/>
  <c r="U19" i="21" s="1"/>
  <c r="L19" i="55" s="1"/>
  <c r="T147" i="21"/>
  <c r="U147" i="21" s="1"/>
  <c r="L147" i="55" s="1"/>
  <c r="T92" i="21"/>
  <c r="U92" i="21" s="1"/>
  <c r="L92" i="55" s="1"/>
  <c r="T284" i="21"/>
  <c r="U284" i="21" s="1"/>
  <c r="L284" i="55" s="1"/>
  <c r="T229" i="21"/>
  <c r="U229" i="21" s="1"/>
  <c r="L229" i="55" s="1"/>
  <c r="T142" i="21"/>
  <c r="U142" i="21" s="1"/>
  <c r="L142" i="55" s="1"/>
  <c r="T31" i="21"/>
  <c r="U31" i="21" s="1"/>
  <c r="L31" i="55" s="1"/>
  <c r="T288" i="21"/>
  <c r="U288" i="21" s="1"/>
  <c r="L288" i="55" s="1"/>
  <c r="T17" i="21"/>
  <c r="U17" i="21" s="1"/>
  <c r="L17" i="55" s="1"/>
  <c r="T81" i="21"/>
  <c r="U81" i="21" s="1"/>
  <c r="L81" i="55" s="1"/>
  <c r="T145" i="21"/>
  <c r="U145" i="21" s="1"/>
  <c r="L145" i="55" s="1"/>
  <c r="T209" i="21"/>
  <c r="U209" i="21" s="1"/>
  <c r="L209" i="55" s="1"/>
  <c r="T273" i="21"/>
  <c r="U273" i="21" s="1"/>
  <c r="L273" i="55" s="1"/>
  <c r="T26" i="21"/>
  <c r="U26" i="21" s="1"/>
  <c r="L26" i="55" s="1"/>
  <c r="T90" i="21"/>
  <c r="U90" i="21" s="1"/>
  <c r="L90" i="55" s="1"/>
  <c r="T154" i="21"/>
  <c r="U154" i="21" s="1"/>
  <c r="L154" i="55" s="1"/>
  <c r="T218" i="21"/>
  <c r="U218" i="21" s="1"/>
  <c r="L218" i="55" s="1"/>
  <c r="T282" i="21"/>
  <c r="U282" i="21" s="1"/>
  <c r="L282" i="55" s="1"/>
  <c r="T35" i="21"/>
  <c r="U35" i="21" s="1"/>
  <c r="L35" i="55" s="1"/>
  <c r="T99" i="21"/>
  <c r="U99" i="21" s="1"/>
  <c r="L99" i="55" s="1"/>
  <c r="T163" i="21"/>
  <c r="U163" i="21" s="1"/>
  <c r="L163" i="55" s="1"/>
  <c r="T227" i="21"/>
  <c r="U227" i="21" s="1"/>
  <c r="L227" i="55" s="1"/>
  <c r="T291" i="21"/>
  <c r="U291" i="21" s="1"/>
  <c r="L291" i="55" s="1"/>
  <c r="T44" i="21"/>
  <c r="U44" i="21" s="1"/>
  <c r="L44" i="55" s="1"/>
  <c r="T108" i="21"/>
  <c r="U108" i="21" s="1"/>
  <c r="L108" i="55" s="1"/>
  <c r="T172" i="21"/>
  <c r="U172" i="21" s="1"/>
  <c r="L172" i="55" s="1"/>
  <c r="T236" i="21"/>
  <c r="U236" i="21" s="1"/>
  <c r="L236" i="55" s="1"/>
  <c r="T300" i="21"/>
  <c r="U300" i="21" s="1"/>
  <c r="L300" i="55" s="1"/>
  <c r="T53" i="21"/>
  <c r="U53" i="21" s="1"/>
  <c r="L53" i="55" s="1"/>
  <c r="T117" i="21"/>
  <c r="U117" i="21" s="1"/>
  <c r="L117" i="55" s="1"/>
  <c r="T181" i="21"/>
  <c r="U181" i="21" s="1"/>
  <c r="L181" i="55" s="1"/>
  <c r="T245" i="21"/>
  <c r="U245" i="21" s="1"/>
  <c r="L245" i="55" s="1"/>
  <c r="T32" i="21"/>
  <c r="U32" i="21" s="1"/>
  <c r="L32" i="55" s="1"/>
  <c r="T30" i="21"/>
  <c r="U30" i="21" s="1"/>
  <c r="L30" i="55" s="1"/>
  <c r="T94" i="21"/>
  <c r="U94" i="21" s="1"/>
  <c r="L94" i="55" s="1"/>
  <c r="T158" i="21"/>
  <c r="U158" i="21" s="1"/>
  <c r="L158" i="55" s="1"/>
  <c r="T222" i="21"/>
  <c r="U222" i="21" s="1"/>
  <c r="L222" i="55" s="1"/>
  <c r="T286" i="21"/>
  <c r="U286" i="21" s="1"/>
  <c r="L286" i="55" s="1"/>
  <c r="T128" i="21"/>
  <c r="U128" i="21" s="1"/>
  <c r="L128" i="55" s="1"/>
  <c r="T47" i="21"/>
  <c r="U47" i="21" s="1"/>
  <c r="L47" i="55" s="1"/>
  <c r="T111" i="21"/>
  <c r="U111" i="21" s="1"/>
  <c r="L111" i="55" s="1"/>
  <c r="T175" i="21"/>
  <c r="U175" i="21" s="1"/>
  <c r="L175" i="55" s="1"/>
  <c r="T239" i="21"/>
  <c r="U239" i="21" s="1"/>
  <c r="L239" i="55" s="1"/>
  <c r="T303" i="21"/>
  <c r="U303" i="21" s="1"/>
  <c r="L303" i="55" s="1"/>
  <c r="T248" i="21"/>
  <c r="U248" i="21" s="1"/>
  <c r="L248" i="55" s="1"/>
  <c r="T200" i="21"/>
  <c r="U200" i="21" s="1"/>
  <c r="L200" i="55" s="1"/>
  <c r="T249" i="21"/>
  <c r="U249" i="21" s="1"/>
  <c r="L249" i="55" s="1"/>
  <c r="T130" i="21"/>
  <c r="U130" i="21" s="1"/>
  <c r="L130" i="55" s="1"/>
  <c r="T258" i="21"/>
  <c r="U258" i="21" s="1"/>
  <c r="L258" i="55" s="1"/>
  <c r="T75" i="21"/>
  <c r="U75" i="21" s="1"/>
  <c r="L75" i="55" s="1"/>
  <c r="T20" i="21"/>
  <c r="U20" i="21" s="1"/>
  <c r="L20" i="55" s="1"/>
  <c r="T148" i="21"/>
  <c r="U148" i="21" s="1"/>
  <c r="L148" i="55" s="1"/>
  <c r="T221" i="21"/>
  <c r="U221" i="21" s="1"/>
  <c r="L221" i="55" s="1"/>
  <c r="T134" i="21"/>
  <c r="U134" i="21" s="1"/>
  <c r="L134" i="55" s="1"/>
  <c r="T262" i="21"/>
  <c r="U262" i="21" s="1"/>
  <c r="L262" i="55" s="1"/>
  <c r="T279" i="21"/>
  <c r="U279" i="21" s="1"/>
  <c r="L279" i="55" s="1"/>
  <c r="T74" i="21"/>
  <c r="U74" i="21" s="1"/>
  <c r="L74" i="55" s="1"/>
  <c r="T78" i="21"/>
  <c r="U78" i="21" s="1"/>
  <c r="L78" i="55" s="1"/>
  <c r="T287" i="21"/>
  <c r="U287" i="21" s="1"/>
  <c r="L287" i="55" s="1"/>
  <c r="T25" i="21"/>
  <c r="U25" i="21" s="1"/>
  <c r="L25" i="55" s="1"/>
  <c r="T89" i="21"/>
  <c r="U89" i="21" s="1"/>
  <c r="L89" i="55" s="1"/>
  <c r="T153" i="21"/>
  <c r="U153" i="21" s="1"/>
  <c r="L153" i="55" s="1"/>
  <c r="T217" i="21"/>
  <c r="U217" i="21" s="1"/>
  <c r="L217" i="55" s="1"/>
  <c r="T281" i="21"/>
  <c r="U281" i="21" s="1"/>
  <c r="L281" i="55" s="1"/>
  <c r="T34" i="21"/>
  <c r="U34" i="21" s="1"/>
  <c r="L34" i="55" s="1"/>
  <c r="T98" i="21"/>
  <c r="U98" i="21" s="1"/>
  <c r="L98" i="55" s="1"/>
  <c r="T162" i="21"/>
  <c r="U162" i="21" s="1"/>
  <c r="L162" i="55" s="1"/>
  <c r="T226" i="21"/>
  <c r="U226" i="21" s="1"/>
  <c r="L226" i="55" s="1"/>
  <c r="T290" i="21"/>
  <c r="U290" i="21" s="1"/>
  <c r="L290" i="55" s="1"/>
  <c r="T43" i="21"/>
  <c r="U43" i="21" s="1"/>
  <c r="L43" i="55" s="1"/>
  <c r="T107" i="21"/>
  <c r="U107" i="21" s="1"/>
  <c r="L107" i="55" s="1"/>
  <c r="T171" i="21"/>
  <c r="U171" i="21" s="1"/>
  <c r="L171" i="55" s="1"/>
  <c r="T235" i="21"/>
  <c r="U235" i="21" s="1"/>
  <c r="L235" i="55" s="1"/>
  <c r="T299" i="21"/>
  <c r="U299" i="21" s="1"/>
  <c r="L299" i="55" s="1"/>
  <c r="T52" i="21"/>
  <c r="U52" i="21" s="1"/>
  <c r="L52" i="55" s="1"/>
  <c r="T116" i="21"/>
  <c r="U116" i="21" s="1"/>
  <c r="L116" i="55" s="1"/>
  <c r="T180" i="21"/>
  <c r="U180" i="21" s="1"/>
  <c r="L180" i="55" s="1"/>
  <c r="T244" i="21"/>
  <c r="U244" i="21" s="1"/>
  <c r="L244" i="55" s="1"/>
  <c r="T8" i="21"/>
  <c r="T61" i="21"/>
  <c r="U61" i="21" s="1"/>
  <c r="L61" i="55" s="1"/>
  <c r="T125" i="21"/>
  <c r="U125" i="21" s="1"/>
  <c r="L125" i="55" s="1"/>
  <c r="T189" i="21"/>
  <c r="U189" i="21" s="1"/>
  <c r="L189" i="55" s="1"/>
  <c r="T253" i="21"/>
  <c r="U253" i="21" s="1"/>
  <c r="L253" i="55" s="1"/>
  <c r="T80" i="21"/>
  <c r="U80" i="21" s="1"/>
  <c r="L80" i="55" s="1"/>
  <c r="T38" i="21"/>
  <c r="U38" i="21" s="1"/>
  <c r="L38" i="55" s="1"/>
  <c r="T102" i="21"/>
  <c r="U102" i="21" s="1"/>
  <c r="L102" i="55" s="1"/>
  <c r="T166" i="21"/>
  <c r="U166" i="21" s="1"/>
  <c r="L166" i="55" s="1"/>
  <c r="T230" i="21"/>
  <c r="U230" i="21" s="1"/>
  <c r="L230" i="55" s="1"/>
  <c r="T294" i="21"/>
  <c r="U294" i="21" s="1"/>
  <c r="L294" i="55" s="1"/>
  <c r="T144" i="21"/>
  <c r="U144" i="21" s="1"/>
  <c r="L144" i="55" s="1"/>
  <c r="T55" i="21"/>
  <c r="U55" i="21" s="1"/>
  <c r="L55" i="55" s="1"/>
  <c r="T119" i="21"/>
  <c r="U119" i="21" s="1"/>
  <c r="L119" i="55" s="1"/>
  <c r="T183" i="21"/>
  <c r="U183" i="21" s="1"/>
  <c r="L183" i="55" s="1"/>
  <c r="T247" i="21"/>
  <c r="U247" i="21" s="1"/>
  <c r="L247" i="55" s="1"/>
  <c r="T48" i="21"/>
  <c r="U48" i="21" s="1"/>
  <c r="L48" i="55" s="1"/>
  <c r="T224" i="21"/>
  <c r="U224" i="21" s="1"/>
  <c r="L224" i="55" s="1"/>
  <c r="T264" i="21"/>
  <c r="U264" i="21" s="1"/>
  <c r="L264" i="55" s="1"/>
  <c r="T40" i="21"/>
  <c r="U40" i="21" s="1"/>
  <c r="L40" i="55" s="1"/>
  <c r="T267" i="21"/>
  <c r="U267" i="21" s="1"/>
  <c r="L267" i="55" s="1"/>
  <c r="T29" i="21"/>
  <c r="U29" i="21" s="1"/>
  <c r="L29" i="55" s="1"/>
  <c r="T70" i="21"/>
  <c r="U70" i="21" s="1"/>
  <c r="L70" i="55" s="1"/>
  <c r="T23" i="21"/>
  <c r="U23" i="21" s="1"/>
  <c r="L23" i="55" s="1"/>
  <c r="T272" i="21"/>
  <c r="U272" i="21" s="1"/>
  <c r="L272" i="55" s="1"/>
  <c r="T129" i="21"/>
  <c r="U129" i="21" s="1"/>
  <c r="L129" i="55" s="1"/>
  <c r="T202" i="21"/>
  <c r="U202" i="21" s="1"/>
  <c r="L202" i="55" s="1"/>
  <c r="T83" i="21"/>
  <c r="U83" i="21" s="1"/>
  <c r="L83" i="55" s="1"/>
  <c r="T211" i="21"/>
  <c r="U211" i="21" s="1"/>
  <c r="L211" i="55" s="1"/>
  <c r="T156" i="21"/>
  <c r="U156" i="21" s="1"/>
  <c r="L156" i="55" s="1"/>
  <c r="T101" i="21"/>
  <c r="U101" i="21" s="1"/>
  <c r="L101" i="55" s="1"/>
  <c r="T293" i="21"/>
  <c r="U293" i="21" s="1"/>
  <c r="L293" i="55" s="1"/>
  <c r="T96" i="21"/>
  <c r="U96" i="21" s="1"/>
  <c r="L96" i="55" s="1"/>
  <c r="T223" i="21"/>
  <c r="U223" i="21" s="1"/>
  <c r="L223" i="55" s="1"/>
  <c r="T33" i="21"/>
  <c r="U33" i="21" s="1"/>
  <c r="L33" i="55" s="1"/>
  <c r="T97" i="21"/>
  <c r="U97" i="21" s="1"/>
  <c r="L97" i="55" s="1"/>
  <c r="T161" i="21"/>
  <c r="U161" i="21" s="1"/>
  <c r="L161" i="55" s="1"/>
  <c r="T225" i="21"/>
  <c r="U225" i="21" s="1"/>
  <c r="L225" i="55" s="1"/>
  <c r="T289" i="21"/>
  <c r="U289" i="21" s="1"/>
  <c r="L289" i="55" s="1"/>
  <c r="T42" i="21"/>
  <c r="U42" i="21" s="1"/>
  <c r="L42" i="55" s="1"/>
  <c r="T106" i="21"/>
  <c r="U106" i="21" s="1"/>
  <c r="L106" i="55" s="1"/>
  <c r="T170" i="21"/>
  <c r="U170" i="21" s="1"/>
  <c r="L170" i="55" s="1"/>
  <c r="T234" i="21"/>
  <c r="U234" i="21" s="1"/>
  <c r="L234" i="55" s="1"/>
  <c r="T298" i="21"/>
  <c r="U298" i="21" s="1"/>
  <c r="L298" i="55" s="1"/>
  <c r="T51" i="21"/>
  <c r="U51" i="21" s="1"/>
  <c r="L51" i="55" s="1"/>
  <c r="T115" i="21"/>
  <c r="U115" i="21" s="1"/>
  <c r="L115" i="55" s="1"/>
  <c r="T179" i="21"/>
  <c r="U179" i="21" s="1"/>
  <c r="L179" i="55" s="1"/>
  <c r="T243" i="21"/>
  <c r="U243" i="21" s="1"/>
  <c r="L243" i="55" s="1"/>
  <c r="T307" i="21"/>
  <c r="U307" i="21" s="1"/>
  <c r="L307" i="55" s="1"/>
  <c r="T60" i="21"/>
  <c r="U60" i="21" s="1"/>
  <c r="L60" i="55" s="1"/>
  <c r="T124" i="21"/>
  <c r="U124" i="21" s="1"/>
  <c r="L124" i="55" s="1"/>
  <c r="T188" i="21"/>
  <c r="U188" i="21" s="1"/>
  <c r="L188" i="55" s="1"/>
  <c r="T252" i="21"/>
  <c r="U252" i="21" s="1"/>
  <c r="L252" i="55" s="1"/>
  <c r="T16" i="21"/>
  <c r="U16" i="21" s="1"/>
  <c r="L16" i="55" s="1"/>
  <c r="T69" i="21"/>
  <c r="U69" i="21" s="1"/>
  <c r="L69" i="55" s="1"/>
  <c r="T133" i="21"/>
  <c r="U133" i="21" s="1"/>
  <c r="L133" i="55" s="1"/>
  <c r="T197" i="21"/>
  <c r="U197" i="21" s="1"/>
  <c r="L197" i="55" s="1"/>
  <c r="T261" i="21"/>
  <c r="U261" i="21" s="1"/>
  <c r="L261" i="55" s="1"/>
  <c r="T104" i="21"/>
  <c r="U104" i="21" s="1"/>
  <c r="L104" i="55" s="1"/>
  <c r="T46" i="21"/>
  <c r="U46" i="21" s="1"/>
  <c r="L46" i="55" s="1"/>
  <c r="T110" i="21"/>
  <c r="U110" i="21" s="1"/>
  <c r="L110" i="55" s="1"/>
  <c r="T174" i="21"/>
  <c r="U174" i="21" s="1"/>
  <c r="L174" i="55" s="1"/>
  <c r="T238" i="21"/>
  <c r="U238" i="21" s="1"/>
  <c r="L238" i="55" s="1"/>
  <c r="T302" i="21"/>
  <c r="U302" i="21" s="1"/>
  <c r="L302" i="55" s="1"/>
  <c r="T160" i="21"/>
  <c r="U160" i="21" s="1"/>
  <c r="L160" i="55" s="1"/>
  <c r="T63" i="21"/>
  <c r="U63" i="21" s="1"/>
  <c r="L63" i="55" s="1"/>
  <c r="T127" i="21"/>
  <c r="U127" i="21" s="1"/>
  <c r="L127" i="55" s="1"/>
  <c r="T191" i="21"/>
  <c r="U191" i="21" s="1"/>
  <c r="L191" i="55" s="1"/>
  <c r="T255" i="21"/>
  <c r="U255" i="21" s="1"/>
  <c r="L255" i="55" s="1"/>
  <c r="T168" i="21"/>
  <c r="U168" i="21" s="1"/>
  <c r="L168" i="55" s="1"/>
  <c r="T296" i="21"/>
  <c r="U296" i="21" s="1"/>
  <c r="L296" i="55" s="1"/>
  <c r="T216" i="21"/>
  <c r="U216" i="21" s="1"/>
  <c r="L216" i="55" s="1"/>
  <c r="T57" i="21"/>
  <c r="U57" i="21" s="1"/>
  <c r="L57" i="55" s="1"/>
  <c r="T194" i="21"/>
  <c r="U194" i="21" s="1"/>
  <c r="L194" i="55" s="1"/>
  <c r="T11" i="21"/>
  <c r="U11" i="21" s="1"/>
  <c r="L11" i="55" s="1"/>
  <c r="T139" i="21"/>
  <c r="U139" i="21" s="1"/>
  <c r="L139" i="55" s="1"/>
  <c r="T84" i="21"/>
  <c r="U84" i="21" s="1"/>
  <c r="L84" i="55" s="1"/>
  <c r="T276" i="21"/>
  <c r="U276" i="21" s="1"/>
  <c r="L276" i="55" s="1"/>
  <c r="T285" i="21"/>
  <c r="U285" i="21" s="1"/>
  <c r="L285" i="55" s="1"/>
  <c r="T198" i="21"/>
  <c r="U198" i="21" s="1"/>
  <c r="L198" i="55" s="1"/>
  <c r="T215" i="21"/>
  <c r="U215" i="21" s="1"/>
  <c r="L215" i="55" s="1"/>
  <c r="T65" i="21"/>
  <c r="U65" i="21" s="1"/>
  <c r="L65" i="55" s="1"/>
  <c r="T266" i="21"/>
  <c r="U266" i="21" s="1"/>
  <c r="L266" i="55" s="1"/>
  <c r="T275" i="21"/>
  <c r="U275" i="21" s="1"/>
  <c r="L275" i="55" s="1"/>
  <c r="T37" i="21"/>
  <c r="U37" i="21" s="1"/>
  <c r="L37" i="55" s="1"/>
  <c r="T14" i="21"/>
  <c r="U14" i="21" s="1"/>
  <c r="L14" i="55" s="1"/>
  <c r="T95" i="21"/>
  <c r="U95" i="21" s="1"/>
  <c r="L95" i="55" s="1"/>
  <c r="T41" i="21"/>
  <c r="U41" i="21" s="1"/>
  <c r="L41" i="55" s="1"/>
  <c r="T105" i="21"/>
  <c r="U105" i="21" s="1"/>
  <c r="L105" i="55" s="1"/>
  <c r="T169" i="21"/>
  <c r="U169" i="21" s="1"/>
  <c r="L169" i="55" s="1"/>
  <c r="T233" i="21"/>
  <c r="U233" i="21" s="1"/>
  <c r="L233" i="55" s="1"/>
  <c r="T297" i="21"/>
  <c r="U297" i="21" s="1"/>
  <c r="L297" i="55" s="1"/>
  <c r="T50" i="21"/>
  <c r="U50" i="21" s="1"/>
  <c r="L50" i="55" s="1"/>
  <c r="T114" i="21"/>
  <c r="U114" i="21" s="1"/>
  <c r="L114" i="55" s="1"/>
  <c r="T178" i="21"/>
  <c r="U178" i="21" s="1"/>
  <c r="L178" i="55" s="1"/>
  <c r="T242" i="21"/>
  <c r="U242" i="21" s="1"/>
  <c r="L242" i="55" s="1"/>
  <c r="T306" i="21"/>
  <c r="U306" i="21" s="1"/>
  <c r="L306" i="55" s="1"/>
  <c r="T59" i="21"/>
  <c r="U59" i="21" s="1"/>
  <c r="L59" i="55" s="1"/>
  <c r="T123" i="21"/>
  <c r="U123" i="21" s="1"/>
  <c r="L123" i="55" s="1"/>
  <c r="T187" i="21"/>
  <c r="U187" i="21" s="1"/>
  <c r="L187" i="55" s="1"/>
  <c r="T251" i="21"/>
  <c r="U251" i="21" s="1"/>
  <c r="L251" i="55" s="1"/>
  <c r="T24" i="21"/>
  <c r="U24" i="21" s="1"/>
  <c r="L24" i="55" s="1"/>
  <c r="T68" i="21"/>
  <c r="U68" i="21" s="1"/>
  <c r="L68" i="55" s="1"/>
  <c r="T132" i="21"/>
  <c r="U132" i="21" s="1"/>
  <c r="L132" i="55" s="1"/>
  <c r="T196" i="21"/>
  <c r="U196" i="21" s="1"/>
  <c r="L196" i="55" s="1"/>
  <c r="T260" i="21"/>
  <c r="U260" i="21" s="1"/>
  <c r="L260" i="55" s="1"/>
  <c r="T13" i="21"/>
  <c r="U13" i="21" s="1"/>
  <c r="L13" i="55" s="1"/>
  <c r="T77" i="21"/>
  <c r="U77" i="21" s="1"/>
  <c r="L77" i="55" s="1"/>
  <c r="T141" i="21"/>
  <c r="U141" i="21" s="1"/>
  <c r="L141" i="55" s="1"/>
  <c r="T205" i="21"/>
  <c r="U205" i="21" s="1"/>
  <c r="L205" i="55" s="1"/>
  <c r="T269" i="21"/>
  <c r="U269" i="21" s="1"/>
  <c r="L269" i="55" s="1"/>
  <c r="T120" i="21"/>
  <c r="U120" i="21" s="1"/>
  <c r="L120" i="55" s="1"/>
  <c r="T54" i="21"/>
  <c r="U54" i="21" s="1"/>
  <c r="L54" i="55" s="1"/>
  <c r="T118" i="21"/>
  <c r="U118" i="21" s="1"/>
  <c r="L118" i="55" s="1"/>
  <c r="T182" i="21"/>
  <c r="U182" i="21" s="1"/>
  <c r="L182" i="55" s="1"/>
  <c r="T246" i="21"/>
  <c r="U246" i="21" s="1"/>
  <c r="L246" i="55" s="1"/>
  <c r="T64" i="21"/>
  <c r="U64" i="21" s="1"/>
  <c r="L64" i="55" s="1"/>
  <c r="T176" i="21"/>
  <c r="U176" i="21" s="1"/>
  <c r="L176" i="55" s="1"/>
  <c r="T71" i="21"/>
  <c r="U71" i="21" s="1"/>
  <c r="L71" i="55" s="1"/>
  <c r="T135" i="21"/>
  <c r="U135" i="21" s="1"/>
  <c r="L135" i="55" s="1"/>
  <c r="T199" i="21"/>
  <c r="U199" i="21" s="1"/>
  <c r="L199" i="55" s="1"/>
  <c r="T263" i="21"/>
  <c r="U263" i="21" s="1"/>
  <c r="L263" i="55" s="1"/>
  <c r="T240" i="21"/>
  <c r="U240" i="21" s="1"/>
  <c r="L240" i="55" s="1"/>
  <c r="T192" i="21"/>
  <c r="U192" i="21" s="1"/>
  <c r="L192" i="55" s="1"/>
  <c r="T185" i="21"/>
  <c r="U185" i="21" s="1"/>
  <c r="L185" i="55" s="1"/>
  <c r="T93" i="21"/>
  <c r="U93" i="21" s="1"/>
  <c r="L93" i="55" s="1"/>
  <c r="T151" i="21"/>
  <c r="U151" i="21" s="1"/>
  <c r="L151" i="55" s="1"/>
  <c r="T10" i="21"/>
  <c r="U10" i="21" s="1"/>
  <c r="L10" i="55" s="1"/>
  <c r="T220" i="21"/>
  <c r="U220" i="21" s="1"/>
  <c r="L220" i="55" s="1"/>
  <c r="T270" i="21"/>
  <c r="U270" i="21" s="1"/>
  <c r="L270" i="55" s="1"/>
  <c r="T280" i="21"/>
  <c r="U280" i="21" s="1"/>
  <c r="L280" i="55" s="1"/>
  <c r="T49" i="21"/>
  <c r="U49" i="21" s="1"/>
  <c r="L49" i="55" s="1"/>
  <c r="T113" i="21"/>
  <c r="U113" i="21" s="1"/>
  <c r="L113" i="55" s="1"/>
  <c r="T177" i="21"/>
  <c r="U177" i="21" s="1"/>
  <c r="L177" i="55" s="1"/>
  <c r="T241" i="21"/>
  <c r="U241" i="21" s="1"/>
  <c r="L241" i="55" s="1"/>
  <c r="T305" i="21"/>
  <c r="U305" i="21" s="1"/>
  <c r="L305" i="55" s="1"/>
  <c r="T58" i="21"/>
  <c r="U58" i="21" s="1"/>
  <c r="L58" i="55" s="1"/>
  <c r="T122" i="21"/>
  <c r="U122" i="21" s="1"/>
  <c r="L122" i="55" s="1"/>
  <c r="T186" i="21"/>
  <c r="U186" i="21" s="1"/>
  <c r="L186" i="55" s="1"/>
  <c r="T250" i="21"/>
  <c r="U250" i="21" s="1"/>
  <c r="L250" i="55" s="1"/>
  <c r="T56" i="21"/>
  <c r="U56" i="21" s="1"/>
  <c r="L56" i="55" s="1"/>
  <c r="T67" i="21"/>
  <c r="U67" i="21" s="1"/>
  <c r="L67" i="55" s="1"/>
  <c r="T131" i="21"/>
  <c r="U131" i="21" s="1"/>
  <c r="L131" i="55" s="1"/>
  <c r="T195" i="21"/>
  <c r="U195" i="21" s="1"/>
  <c r="L195" i="55" s="1"/>
  <c r="T259" i="21"/>
  <c r="U259" i="21" s="1"/>
  <c r="L259" i="55" s="1"/>
  <c r="T12" i="21"/>
  <c r="U12" i="21" s="1"/>
  <c r="L12" i="55" s="1"/>
  <c r="T76" i="21"/>
  <c r="U76" i="21" s="1"/>
  <c r="L76" i="55" s="1"/>
  <c r="T140" i="21"/>
  <c r="U140" i="21" s="1"/>
  <c r="L140" i="55" s="1"/>
  <c r="T204" i="21"/>
  <c r="U204" i="21" s="1"/>
  <c r="L204" i="55" s="1"/>
  <c r="T268" i="21"/>
  <c r="U268" i="21" s="1"/>
  <c r="L268" i="55" s="1"/>
  <c r="T21" i="21"/>
  <c r="U21" i="21" s="1"/>
  <c r="L21" i="55" s="1"/>
  <c r="T85" i="21"/>
  <c r="U85" i="21" s="1"/>
  <c r="L85" i="55" s="1"/>
  <c r="T149" i="21"/>
  <c r="U149" i="21" s="1"/>
  <c r="L149" i="55" s="1"/>
  <c r="T213" i="21"/>
  <c r="U213" i="21" s="1"/>
  <c r="L213" i="55" s="1"/>
  <c r="T277" i="21"/>
  <c r="U277" i="21" s="1"/>
  <c r="L277" i="55" s="1"/>
  <c r="T136" i="21"/>
  <c r="U136" i="21" s="1"/>
  <c r="L136" i="55" s="1"/>
  <c r="T62" i="21"/>
  <c r="U62" i="21" s="1"/>
  <c r="L62" i="55" s="1"/>
  <c r="T126" i="21"/>
  <c r="U126" i="21" s="1"/>
  <c r="L126" i="55" s="1"/>
  <c r="T190" i="21"/>
  <c r="U190" i="21" s="1"/>
  <c r="L190" i="55" s="1"/>
  <c r="T254" i="21"/>
  <c r="U254" i="21" s="1"/>
  <c r="L254" i="55" s="1"/>
  <c r="T72" i="21"/>
  <c r="U72" i="21" s="1"/>
  <c r="L72" i="55" s="1"/>
  <c r="T15" i="21"/>
  <c r="U15" i="21" s="1"/>
  <c r="L15" i="55" s="1"/>
  <c r="T79" i="21"/>
  <c r="U79" i="21" s="1"/>
  <c r="L79" i="55" s="1"/>
  <c r="T143" i="21"/>
  <c r="U143" i="21" s="1"/>
  <c r="L143" i="55" s="1"/>
  <c r="T207" i="21"/>
  <c r="U207" i="21" s="1"/>
  <c r="L207" i="55" s="1"/>
  <c r="T271" i="21"/>
  <c r="U271" i="21" s="1"/>
  <c r="L271" i="55" s="1"/>
  <c r="T304" i="21"/>
  <c r="U304" i="21" s="1"/>
  <c r="L304" i="55" s="1"/>
  <c r="T256" i="21"/>
  <c r="U256" i="21" s="1"/>
  <c r="L256" i="55" s="1"/>
  <c r="T66" i="21"/>
  <c r="U66" i="21" s="1"/>
  <c r="L66" i="55" s="1"/>
  <c r="T157" i="21"/>
  <c r="U157" i="21" s="1"/>
  <c r="L157" i="55" s="1"/>
  <c r="T87" i="21"/>
  <c r="U87" i="21" s="1"/>
  <c r="L87" i="55" s="1"/>
  <c r="T257" i="21"/>
  <c r="U257" i="21" s="1"/>
  <c r="L257" i="55" s="1"/>
  <c r="T28" i="21"/>
  <c r="U28" i="21" s="1"/>
  <c r="L28" i="55" s="1"/>
  <c r="T165" i="21"/>
  <c r="U165" i="21" s="1"/>
  <c r="L165" i="55" s="1"/>
  <c r="T206" i="21"/>
  <c r="U206" i="21" s="1"/>
  <c r="L206" i="55" s="1"/>
  <c r="T159" i="21"/>
  <c r="U159" i="21" s="1"/>
  <c r="L159" i="55" s="1"/>
  <c r="U274" i="21"/>
  <c r="L274" i="55" s="1"/>
  <c r="F13" i="9"/>
  <c r="U9" i="45"/>
  <c r="U8" i="45"/>
  <c r="U10" i="45"/>
  <c r="U11" i="45"/>
  <c r="U13" i="45"/>
  <c r="U12" i="45"/>
  <c r="P244" i="29"/>
  <c r="P163" i="29"/>
  <c r="P169" i="29"/>
  <c r="P194" i="29"/>
  <c r="P201" i="29"/>
  <c r="P90" i="29"/>
  <c r="P95" i="29"/>
  <c r="P278" i="29"/>
  <c r="P193" i="29"/>
  <c r="P76" i="29"/>
  <c r="P166" i="29"/>
  <c r="P80" i="29"/>
  <c r="P83" i="29"/>
  <c r="P25" i="29"/>
  <c r="P185" i="29"/>
  <c r="P104" i="29"/>
  <c r="P40" i="29"/>
  <c r="P243" i="29"/>
  <c r="P22" i="29"/>
  <c r="P217" i="29"/>
  <c r="P247" i="29"/>
  <c r="P96" i="29"/>
  <c r="P54" i="29"/>
  <c r="P39" i="29"/>
  <c r="P170" i="29"/>
  <c r="P119" i="29"/>
  <c r="P33" i="29"/>
  <c r="P192" i="29"/>
  <c r="P143" i="29"/>
  <c r="P239" i="29"/>
  <c r="P231" i="29"/>
  <c r="P172" i="29"/>
  <c r="P171" i="29"/>
  <c r="P196" i="29"/>
  <c r="P46" i="29"/>
  <c r="P291" i="29"/>
  <c r="P82" i="29"/>
  <c r="P160" i="29"/>
  <c r="P42" i="29"/>
  <c r="P241" i="29"/>
  <c r="P177" i="29"/>
  <c r="P14" i="29"/>
  <c r="P59" i="29"/>
  <c r="P55" i="29"/>
  <c r="P71" i="29"/>
  <c r="P155" i="29"/>
  <c r="P111" i="29"/>
  <c r="P164" i="29"/>
  <c r="P103" i="29"/>
  <c r="P84" i="29"/>
  <c r="P255" i="29"/>
  <c r="P218" i="29"/>
  <c r="P257" i="29"/>
  <c r="P173" i="29"/>
  <c r="P86" i="29"/>
  <c r="P213" i="29"/>
  <c r="P206" i="29"/>
  <c r="P101" i="29"/>
  <c r="P77" i="29"/>
  <c r="P224" i="29"/>
  <c r="P30" i="29"/>
  <c r="P35" i="29"/>
  <c r="P32" i="29"/>
  <c r="P228" i="29"/>
  <c r="P236" i="29"/>
  <c r="P51" i="29"/>
  <c r="P178" i="29"/>
  <c r="P210" i="29"/>
  <c r="P168" i="29"/>
  <c r="P202" i="29"/>
  <c r="P250" i="29"/>
  <c r="P183" i="29"/>
  <c r="P153" i="29"/>
  <c r="P292" i="29"/>
  <c r="P91" i="29"/>
  <c r="P266" i="29"/>
  <c r="P128" i="29"/>
  <c r="P182" i="29"/>
  <c r="P260" i="29"/>
  <c r="P258" i="29"/>
  <c r="P156" i="29"/>
  <c r="P26" i="29"/>
  <c r="P99" i="29"/>
  <c r="P43" i="29"/>
  <c r="P195" i="29"/>
  <c r="P62" i="29"/>
  <c r="P136" i="29"/>
  <c r="P133" i="29"/>
  <c r="P287" i="29"/>
  <c r="P212" i="29"/>
  <c r="P230" i="29"/>
  <c r="P66" i="29"/>
  <c r="P23" i="29"/>
  <c r="P252" i="29"/>
  <c r="P41" i="29"/>
  <c r="P176" i="29"/>
  <c r="P187" i="29"/>
  <c r="P92" i="29"/>
  <c r="P304" i="29"/>
  <c r="P242" i="29"/>
  <c r="P199" i="29"/>
  <c r="P281" i="29"/>
  <c r="P162" i="29"/>
  <c r="P81" i="29"/>
  <c r="P175" i="29"/>
  <c r="P215" i="29"/>
  <c r="P36" i="29"/>
  <c r="P138" i="29"/>
  <c r="P70" i="29"/>
  <c r="P109" i="29"/>
  <c r="P282" i="29"/>
  <c r="P220" i="29"/>
  <c r="P262" i="29"/>
  <c r="P245" i="29"/>
  <c r="P179" i="29"/>
  <c r="P89" i="29"/>
  <c r="P209" i="29"/>
  <c r="P248" i="29"/>
  <c r="P293" i="29"/>
  <c r="P180" i="29"/>
  <c r="P53" i="29"/>
  <c r="P31" i="29"/>
  <c r="P142" i="29"/>
  <c r="P60" i="29"/>
  <c r="P64" i="29"/>
  <c r="P67" i="29"/>
  <c r="P20" i="29"/>
  <c r="P222" i="29"/>
  <c r="P283" i="29"/>
  <c r="P233" i="29"/>
  <c r="P105" i="29"/>
  <c r="P19" i="29"/>
  <c r="P44" i="29"/>
  <c r="P157" i="29"/>
  <c r="P190" i="29"/>
  <c r="P27" i="29"/>
  <c r="P223" i="29"/>
  <c r="P135" i="29"/>
  <c r="P268" i="29"/>
  <c r="P37" i="29"/>
  <c r="P246" i="29"/>
  <c r="P200" i="29"/>
  <c r="P58" i="29"/>
  <c r="P237" i="29"/>
  <c r="P285" i="29"/>
  <c r="P48" i="29"/>
  <c r="P75" i="29"/>
  <c r="P52" i="29"/>
  <c r="P97" i="29"/>
  <c r="P214" i="29"/>
  <c r="P134" i="29"/>
  <c r="P18" i="29"/>
  <c r="P305" i="29"/>
  <c r="P24" i="29"/>
  <c r="P159" i="29"/>
  <c r="P191" i="29"/>
  <c r="P232" i="29"/>
  <c r="P259" i="29"/>
  <c r="P165" i="29"/>
  <c r="P15" i="29"/>
  <c r="P88" i="29"/>
  <c r="P69" i="29"/>
  <c r="P98" i="29"/>
  <c r="P303" i="29"/>
  <c r="P234" i="29"/>
  <c r="P151" i="29"/>
  <c r="P129" i="29"/>
  <c r="P249" i="29"/>
  <c r="P78" i="29"/>
  <c r="P203" i="29"/>
  <c r="P208" i="29"/>
  <c r="P256" i="29"/>
  <c r="P221" i="29"/>
  <c r="P102" i="29"/>
  <c r="P161" i="29"/>
  <c r="P93" i="29"/>
  <c r="P219" i="29"/>
  <c r="P295" i="29"/>
  <c r="P158" i="29"/>
  <c r="P106" i="29"/>
  <c r="P38" i="29"/>
  <c r="P227" i="29"/>
  <c r="P174" i="29"/>
  <c r="P13" i="29"/>
  <c r="P87" i="29"/>
  <c r="P251" i="29"/>
  <c r="P154" i="29"/>
  <c r="P264" i="29"/>
  <c r="P238" i="29"/>
  <c r="P211" i="29"/>
  <c r="P235" i="29"/>
  <c r="P188" i="29"/>
  <c r="P226" i="29"/>
  <c r="P107" i="29"/>
  <c r="P121" i="29"/>
  <c r="P68" i="29"/>
  <c r="P302" i="29"/>
  <c r="P73" i="29"/>
  <c r="P286" i="29"/>
  <c r="P216" i="29"/>
  <c r="P240" i="29"/>
  <c r="P85" i="29"/>
  <c r="P225" i="29"/>
  <c r="P253" i="29"/>
  <c r="P114" i="29"/>
  <c r="P79" i="29"/>
  <c r="P263" i="29"/>
  <c r="P34" i="29"/>
  <c r="P207" i="29"/>
  <c r="P205" i="29"/>
  <c r="P229" i="29"/>
  <c r="P297" i="29"/>
  <c r="P21" i="29"/>
  <c r="P288" i="29"/>
  <c r="P307" i="29"/>
  <c r="P29" i="29"/>
  <c r="P204" i="29"/>
  <c r="P265" i="29"/>
  <c r="P137" i="29"/>
  <c r="P301" i="29"/>
  <c r="P167" i="29"/>
  <c r="P100" i="29"/>
  <c r="P279" i="29"/>
  <c r="P254" i="29"/>
  <c r="P74" i="29"/>
  <c r="P294" i="29"/>
  <c r="P50" i="29"/>
  <c r="P49" i="29"/>
  <c r="P140" i="29"/>
  <c r="P184" i="29"/>
  <c r="P261" i="29"/>
  <c r="P189" i="29"/>
  <c r="P28" i="29"/>
  <c r="P141" i="29"/>
  <c r="P65" i="29"/>
  <c r="P181" i="29"/>
  <c r="P94" i="29"/>
  <c r="P57" i="29"/>
  <c r="P112" i="29"/>
  <c r="P147" i="29"/>
  <c r="E308" i="21"/>
  <c r="F308" i="21"/>
  <c r="D308" i="21"/>
  <c r="J308" i="21"/>
  <c r="H308" i="21"/>
  <c r="G308" i="21"/>
  <c r="E17" i="57" l="1"/>
  <c r="H17" i="57" s="1"/>
  <c r="U27" i="45"/>
  <c r="P27" i="45" s="1"/>
  <c r="U8" i="21"/>
  <c r="L8" i="55" s="1"/>
  <c r="L308" i="55" s="1"/>
  <c r="T308" i="21"/>
  <c r="U308" i="21" s="1"/>
  <c r="U6" i="21" s="1"/>
  <c r="S14" i="45"/>
  <c r="U14" i="45"/>
  <c r="L308" i="29"/>
  <c r="P308" i="29"/>
  <c r="S8" i="29" l="1"/>
  <c r="S24" i="29"/>
  <c r="U24" i="29" s="1"/>
  <c r="U24" i="55" s="1"/>
  <c r="S56" i="29"/>
  <c r="U56" i="29" s="1"/>
  <c r="U56" i="55" s="1"/>
  <c r="S88" i="29"/>
  <c r="U88" i="29" s="1"/>
  <c r="U88" i="55" s="1"/>
  <c r="S120" i="29"/>
  <c r="U120" i="29" s="1"/>
  <c r="U120" i="55" s="1"/>
  <c r="S152" i="29"/>
  <c r="U152" i="29" s="1"/>
  <c r="U152" i="55" s="1"/>
  <c r="S184" i="29"/>
  <c r="U184" i="29" s="1"/>
  <c r="U184" i="55" s="1"/>
  <c r="S216" i="29"/>
  <c r="U216" i="29" s="1"/>
  <c r="U216" i="55" s="1"/>
  <c r="S248" i="29"/>
  <c r="U248" i="29" s="1"/>
  <c r="U248" i="55" s="1"/>
  <c r="S280" i="29"/>
  <c r="U280" i="29" s="1"/>
  <c r="U280" i="55" s="1"/>
  <c r="S13" i="29"/>
  <c r="U13" i="29" s="1"/>
  <c r="U13" i="55" s="1"/>
  <c r="S45" i="29"/>
  <c r="U45" i="29" s="1"/>
  <c r="U45" i="55" s="1"/>
  <c r="S77" i="29"/>
  <c r="U77" i="29" s="1"/>
  <c r="U77" i="55" s="1"/>
  <c r="S109" i="29"/>
  <c r="U109" i="29" s="1"/>
  <c r="U109" i="55" s="1"/>
  <c r="S141" i="29"/>
  <c r="U141" i="29" s="1"/>
  <c r="U141" i="55" s="1"/>
  <c r="S173" i="29"/>
  <c r="U173" i="29" s="1"/>
  <c r="U173" i="55" s="1"/>
  <c r="S205" i="29"/>
  <c r="U205" i="29" s="1"/>
  <c r="U205" i="55" s="1"/>
  <c r="S237" i="29"/>
  <c r="U237" i="29" s="1"/>
  <c r="U237" i="55" s="1"/>
  <c r="S269" i="29"/>
  <c r="U269" i="29" s="1"/>
  <c r="U269" i="55" s="1"/>
  <c r="S301" i="29"/>
  <c r="U301" i="29" s="1"/>
  <c r="U301" i="55" s="1"/>
  <c r="S34" i="29"/>
  <c r="U34" i="29" s="1"/>
  <c r="U34" i="55" s="1"/>
  <c r="S66" i="29"/>
  <c r="U66" i="29" s="1"/>
  <c r="U66" i="55" s="1"/>
  <c r="S98" i="29"/>
  <c r="U98" i="29" s="1"/>
  <c r="U98" i="55" s="1"/>
  <c r="S130" i="29"/>
  <c r="U130" i="29" s="1"/>
  <c r="U130" i="55" s="1"/>
  <c r="S162" i="29"/>
  <c r="U162" i="29" s="1"/>
  <c r="U162" i="55" s="1"/>
  <c r="S194" i="29"/>
  <c r="U194" i="29" s="1"/>
  <c r="U194" i="55" s="1"/>
  <c r="S226" i="29"/>
  <c r="U226" i="29" s="1"/>
  <c r="U226" i="55" s="1"/>
  <c r="S258" i="29"/>
  <c r="U258" i="29" s="1"/>
  <c r="U258" i="55" s="1"/>
  <c r="S290" i="29"/>
  <c r="U290" i="29" s="1"/>
  <c r="U290" i="55" s="1"/>
  <c r="S23" i="29"/>
  <c r="U23" i="29" s="1"/>
  <c r="U23" i="55" s="1"/>
  <c r="S55" i="29"/>
  <c r="U55" i="29" s="1"/>
  <c r="U55" i="55" s="1"/>
  <c r="S87" i="29"/>
  <c r="U87" i="29" s="1"/>
  <c r="U87" i="55" s="1"/>
  <c r="S119" i="29"/>
  <c r="U119" i="29" s="1"/>
  <c r="U119" i="55" s="1"/>
  <c r="S151" i="29"/>
  <c r="U151" i="29" s="1"/>
  <c r="U151" i="55" s="1"/>
  <c r="S183" i="29"/>
  <c r="U183" i="29" s="1"/>
  <c r="U183" i="55" s="1"/>
  <c r="S215" i="29"/>
  <c r="U215" i="29" s="1"/>
  <c r="U215" i="55" s="1"/>
  <c r="S247" i="29"/>
  <c r="U247" i="29" s="1"/>
  <c r="U247" i="55" s="1"/>
  <c r="S279" i="29"/>
  <c r="U279" i="29" s="1"/>
  <c r="U279" i="55" s="1"/>
  <c r="S39" i="29"/>
  <c r="U39" i="29" s="1"/>
  <c r="U39" i="55" s="1"/>
  <c r="S103" i="29"/>
  <c r="U103" i="29" s="1"/>
  <c r="U103" i="55" s="1"/>
  <c r="S263" i="29"/>
  <c r="U263" i="29" s="1"/>
  <c r="U263" i="55" s="1"/>
  <c r="S47" i="29"/>
  <c r="U47" i="29" s="1"/>
  <c r="U47" i="55" s="1"/>
  <c r="S20" i="29"/>
  <c r="U20" i="29" s="1"/>
  <c r="U20" i="55" s="1"/>
  <c r="S28" i="29"/>
  <c r="U28" i="29" s="1"/>
  <c r="U28" i="55" s="1"/>
  <c r="S60" i="29"/>
  <c r="U60" i="29" s="1"/>
  <c r="U60" i="55" s="1"/>
  <c r="S92" i="29"/>
  <c r="U92" i="29" s="1"/>
  <c r="U92" i="55" s="1"/>
  <c r="S124" i="29"/>
  <c r="U124" i="29" s="1"/>
  <c r="U124" i="55" s="1"/>
  <c r="S156" i="29"/>
  <c r="U156" i="29" s="1"/>
  <c r="U156" i="55" s="1"/>
  <c r="S188" i="29"/>
  <c r="U188" i="29" s="1"/>
  <c r="U188" i="55" s="1"/>
  <c r="S220" i="29"/>
  <c r="S252" i="29"/>
  <c r="U252" i="29" s="1"/>
  <c r="U252" i="55" s="1"/>
  <c r="S284" i="29"/>
  <c r="U284" i="29" s="1"/>
  <c r="U284" i="55" s="1"/>
  <c r="S17" i="29"/>
  <c r="U17" i="29" s="1"/>
  <c r="U17" i="55" s="1"/>
  <c r="S49" i="29"/>
  <c r="U49" i="29" s="1"/>
  <c r="U49" i="55" s="1"/>
  <c r="S81" i="29"/>
  <c r="U81" i="29" s="1"/>
  <c r="U81" i="55" s="1"/>
  <c r="S113" i="29"/>
  <c r="U113" i="29" s="1"/>
  <c r="U113" i="55" s="1"/>
  <c r="S145" i="29"/>
  <c r="U145" i="29" s="1"/>
  <c r="U145" i="55" s="1"/>
  <c r="S177" i="29"/>
  <c r="U177" i="29" s="1"/>
  <c r="U177" i="55" s="1"/>
  <c r="S209" i="29"/>
  <c r="U209" i="29" s="1"/>
  <c r="U209" i="55" s="1"/>
  <c r="S241" i="29"/>
  <c r="U241" i="29" s="1"/>
  <c r="U241" i="55" s="1"/>
  <c r="S273" i="29"/>
  <c r="U273" i="29" s="1"/>
  <c r="U273" i="55" s="1"/>
  <c r="S305" i="29"/>
  <c r="U305" i="29" s="1"/>
  <c r="U305" i="55" s="1"/>
  <c r="S38" i="29"/>
  <c r="U38" i="29" s="1"/>
  <c r="U38" i="55" s="1"/>
  <c r="S70" i="29"/>
  <c r="U70" i="29" s="1"/>
  <c r="U70" i="55" s="1"/>
  <c r="S102" i="29"/>
  <c r="U102" i="29" s="1"/>
  <c r="U102" i="55" s="1"/>
  <c r="S134" i="29"/>
  <c r="U134" i="29" s="1"/>
  <c r="U134" i="55" s="1"/>
  <c r="S166" i="29"/>
  <c r="S198" i="29"/>
  <c r="U198" i="29" s="1"/>
  <c r="U198" i="55" s="1"/>
  <c r="S230" i="29"/>
  <c r="U230" i="29" s="1"/>
  <c r="U230" i="55" s="1"/>
  <c r="S262" i="29"/>
  <c r="U262" i="29" s="1"/>
  <c r="U262" i="55" s="1"/>
  <c r="S294" i="29"/>
  <c r="U294" i="29" s="1"/>
  <c r="U294" i="55" s="1"/>
  <c r="S27" i="29"/>
  <c r="U27" i="29" s="1"/>
  <c r="U27" i="55" s="1"/>
  <c r="S59" i="29"/>
  <c r="U59" i="29" s="1"/>
  <c r="U59" i="55" s="1"/>
  <c r="S91" i="29"/>
  <c r="U91" i="29" s="1"/>
  <c r="U91" i="55" s="1"/>
  <c r="S123" i="29"/>
  <c r="U123" i="29" s="1"/>
  <c r="U123" i="55" s="1"/>
  <c r="S155" i="29"/>
  <c r="U155" i="29" s="1"/>
  <c r="U155" i="55" s="1"/>
  <c r="S187" i="29"/>
  <c r="U187" i="29" s="1"/>
  <c r="U187" i="55" s="1"/>
  <c r="S219" i="29"/>
  <c r="U219" i="29" s="1"/>
  <c r="U219" i="55" s="1"/>
  <c r="S251" i="29"/>
  <c r="U251" i="29" s="1"/>
  <c r="U251" i="55" s="1"/>
  <c r="S283" i="29"/>
  <c r="U283" i="29" s="1"/>
  <c r="U283" i="55" s="1"/>
  <c r="S274" i="29"/>
  <c r="U274" i="29" s="1"/>
  <c r="U274" i="55" s="1"/>
  <c r="S167" i="29"/>
  <c r="U167" i="29" s="1"/>
  <c r="U167" i="55" s="1"/>
  <c r="S299" i="29"/>
  <c r="U299" i="29" s="1"/>
  <c r="U299" i="55" s="1"/>
  <c r="S207" i="29"/>
  <c r="U207" i="29" s="1"/>
  <c r="U207" i="55" s="1"/>
  <c r="S303" i="29"/>
  <c r="U303" i="29" s="1"/>
  <c r="U303" i="55" s="1"/>
  <c r="S32" i="29"/>
  <c r="U32" i="29" s="1"/>
  <c r="U32" i="55" s="1"/>
  <c r="S64" i="29"/>
  <c r="U64" i="29" s="1"/>
  <c r="U64" i="55" s="1"/>
  <c r="S96" i="29"/>
  <c r="U96" i="29" s="1"/>
  <c r="U96" i="55" s="1"/>
  <c r="S128" i="29"/>
  <c r="U128" i="29" s="1"/>
  <c r="U128" i="55" s="1"/>
  <c r="S160" i="29"/>
  <c r="U160" i="29" s="1"/>
  <c r="U160" i="55" s="1"/>
  <c r="S192" i="29"/>
  <c r="U192" i="29" s="1"/>
  <c r="U192" i="55" s="1"/>
  <c r="S224" i="29"/>
  <c r="U224" i="29" s="1"/>
  <c r="U224" i="55" s="1"/>
  <c r="S256" i="29"/>
  <c r="U256" i="29" s="1"/>
  <c r="U256" i="55" s="1"/>
  <c r="S288" i="29"/>
  <c r="U288" i="29" s="1"/>
  <c r="U288" i="55" s="1"/>
  <c r="S21" i="29"/>
  <c r="U21" i="29" s="1"/>
  <c r="U21" i="55" s="1"/>
  <c r="S53" i="29"/>
  <c r="U53" i="29" s="1"/>
  <c r="U53" i="55" s="1"/>
  <c r="S85" i="29"/>
  <c r="U85" i="29" s="1"/>
  <c r="U85" i="55" s="1"/>
  <c r="S117" i="29"/>
  <c r="U117" i="29" s="1"/>
  <c r="U117" i="55" s="1"/>
  <c r="S149" i="29"/>
  <c r="U149" i="29" s="1"/>
  <c r="U149" i="55" s="1"/>
  <c r="S181" i="29"/>
  <c r="U181" i="29" s="1"/>
  <c r="U181" i="55" s="1"/>
  <c r="S213" i="29"/>
  <c r="U213" i="29" s="1"/>
  <c r="U213" i="55" s="1"/>
  <c r="S245" i="29"/>
  <c r="U245" i="29" s="1"/>
  <c r="U245" i="55" s="1"/>
  <c r="S277" i="29"/>
  <c r="U277" i="29" s="1"/>
  <c r="U277" i="55" s="1"/>
  <c r="S10" i="29"/>
  <c r="U10" i="29" s="1"/>
  <c r="U10" i="55" s="1"/>
  <c r="S42" i="29"/>
  <c r="U42" i="29" s="1"/>
  <c r="U42" i="55" s="1"/>
  <c r="S74" i="29"/>
  <c r="U74" i="29" s="1"/>
  <c r="U74" i="55" s="1"/>
  <c r="S106" i="29"/>
  <c r="U106" i="29" s="1"/>
  <c r="U106" i="55" s="1"/>
  <c r="S138" i="29"/>
  <c r="U138" i="29" s="1"/>
  <c r="U138" i="55" s="1"/>
  <c r="S170" i="29"/>
  <c r="U170" i="29" s="1"/>
  <c r="U170" i="55" s="1"/>
  <c r="S202" i="29"/>
  <c r="U202" i="29" s="1"/>
  <c r="U202" i="55" s="1"/>
  <c r="S234" i="29"/>
  <c r="U234" i="29" s="1"/>
  <c r="U234" i="55" s="1"/>
  <c r="S266" i="29"/>
  <c r="U266" i="29" s="1"/>
  <c r="U266" i="55" s="1"/>
  <c r="S298" i="29"/>
  <c r="U298" i="29" s="1"/>
  <c r="U298" i="55" s="1"/>
  <c r="S31" i="29"/>
  <c r="U31" i="29" s="1"/>
  <c r="U31" i="55" s="1"/>
  <c r="S63" i="29"/>
  <c r="U63" i="29" s="1"/>
  <c r="U63" i="55" s="1"/>
  <c r="S95" i="29"/>
  <c r="U95" i="29" s="1"/>
  <c r="U95" i="55" s="1"/>
  <c r="S127" i="29"/>
  <c r="U127" i="29" s="1"/>
  <c r="U127" i="55" s="1"/>
  <c r="S159" i="29"/>
  <c r="U159" i="29" s="1"/>
  <c r="U159" i="55" s="1"/>
  <c r="S191" i="29"/>
  <c r="U191" i="29" s="1"/>
  <c r="U191" i="55" s="1"/>
  <c r="S223" i="29"/>
  <c r="U223" i="29" s="1"/>
  <c r="U223" i="55" s="1"/>
  <c r="S255" i="29"/>
  <c r="U255" i="29" s="1"/>
  <c r="U255" i="55" s="1"/>
  <c r="S287" i="29"/>
  <c r="U287" i="29" s="1"/>
  <c r="U287" i="55" s="1"/>
  <c r="S306" i="29"/>
  <c r="U306" i="29" s="1"/>
  <c r="U306" i="55" s="1"/>
  <c r="S135" i="29"/>
  <c r="U135" i="29" s="1"/>
  <c r="U135" i="55" s="1"/>
  <c r="S295" i="29"/>
  <c r="U295" i="29" s="1"/>
  <c r="U295" i="55" s="1"/>
  <c r="S79" i="29"/>
  <c r="U79" i="29" s="1"/>
  <c r="U79" i="55" s="1"/>
  <c r="S36" i="29"/>
  <c r="U36" i="29" s="1"/>
  <c r="U36" i="55" s="1"/>
  <c r="S68" i="29"/>
  <c r="U68" i="29" s="1"/>
  <c r="U68" i="55" s="1"/>
  <c r="S100" i="29"/>
  <c r="U100" i="29" s="1"/>
  <c r="U100" i="55" s="1"/>
  <c r="S132" i="29"/>
  <c r="U132" i="29" s="1"/>
  <c r="U132" i="55" s="1"/>
  <c r="S164" i="29"/>
  <c r="U164" i="29" s="1"/>
  <c r="U164" i="55" s="1"/>
  <c r="S196" i="29"/>
  <c r="U196" i="29" s="1"/>
  <c r="U196" i="55" s="1"/>
  <c r="S228" i="29"/>
  <c r="U228" i="29" s="1"/>
  <c r="U228" i="55" s="1"/>
  <c r="S260" i="29"/>
  <c r="U260" i="29" s="1"/>
  <c r="U260" i="55" s="1"/>
  <c r="S292" i="29"/>
  <c r="U292" i="29" s="1"/>
  <c r="U292" i="55" s="1"/>
  <c r="S25" i="29"/>
  <c r="U25" i="29" s="1"/>
  <c r="U25" i="55" s="1"/>
  <c r="S57" i="29"/>
  <c r="U57" i="29" s="1"/>
  <c r="U57" i="55" s="1"/>
  <c r="S89" i="29"/>
  <c r="U89" i="29" s="1"/>
  <c r="U89" i="55" s="1"/>
  <c r="S121" i="29"/>
  <c r="U121" i="29" s="1"/>
  <c r="U121" i="55" s="1"/>
  <c r="S153" i="29"/>
  <c r="U153" i="29" s="1"/>
  <c r="U153" i="55" s="1"/>
  <c r="S185" i="29"/>
  <c r="U185" i="29" s="1"/>
  <c r="U185" i="55" s="1"/>
  <c r="S217" i="29"/>
  <c r="U217" i="29" s="1"/>
  <c r="U217" i="55" s="1"/>
  <c r="S249" i="29"/>
  <c r="U249" i="29" s="1"/>
  <c r="U249" i="55" s="1"/>
  <c r="S281" i="29"/>
  <c r="U281" i="29" s="1"/>
  <c r="U281" i="55" s="1"/>
  <c r="S14" i="29"/>
  <c r="U14" i="29" s="1"/>
  <c r="U14" i="55" s="1"/>
  <c r="S46" i="29"/>
  <c r="U46" i="29" s="1"/>
  <c r="U46" i="55" s="1"/>
  <c r="S78" i="29"/>
  <c r="U78" i="29" s="1"/>
  <c r="U78" i="55" s="1"/>
  <c r="S110" i="29"/>
  <c r="U110" i="29" s="1"/>
  <c r="U110" i="55" s="1"/>
  <c r="S142" i="29"/>
  <c r="U142" i="29" s="1"/>
  <c r="U142" i="55" s="1"/>
  <c r="S174" i="29"/>
  <c r="U174" i="29" s="1"/>
  <c r="U174" i="55" s="1"/>
  <c r="S206" i="29"/>
  <c r="U206" i="29" s="1"/>
  <c r="U206" i="55" s="1"/>
  <c r="S238" i="29"/>
  <c r="U238" i="29" s="1"/>
  <c r="U238" i="55" s="1"/>
  <c r="S270" i="29"/>
  <c r="U270" i="29" s="1"/>
  <c r="U270" i="55" s="1"/>
  <c r="S302" i="29"/>
  <c r="U302" i="29" s="1"/>
  <c r="U302" i="55" s="1"/>
  <c r="S35" i="29"/>
  <c r="U35" i="29" s="1"/>
  <c r="U35" i="55" s="1"/>
  <c r="S67" i="29"/>
  <c r="U67" i="29" s="1"/>
  <c r="U67" i="55" s="1"/>
  <c r="S99" i="29"/>
  <c r="U99" i="29" s="1"/>
  <c r="U99" i="55" s="1"/>
  <c r="S131" i="29"/>
  <c r="U131" i="29" s="1"/>
  <c r="U131" i="55" s="1"/>
  <c r="S163" i="29"/>
  <c r="U163" i="29" s="1"/>
  <c r="U163" i="55" s="1"/>
  <c r="S195" i="29"/>
  <c r="U195" i="29" s="1"/>
  <c r="U195" i="55" s="1"/>
  <c r="S227" i="29"/>
  <c r="U227" i="29" s="1"/>
  <c r="U227" i="55" s="1"/>
  <c r="S259" i="29"/>
  <c r="U259" i="29" s="1"/>
  <c r="U259" i="55" s="1"/>
  <c r="S291" i="29"/>
  <c r="U291" i="29" s="1"/>
  <c r="U291" i="55" s="1"/>
  <c r="S242" i="29"/>
  <c r="U242" i="29" s="1"/>
  <c r="U242" i="55" s="1"/>
  <c r="S231" i="29"/>
  <c r="U231" i="29" s="1"/>
  <c r="U231" i="55" s="1"/>
  <c r="S111" i="29"/>
  <c r="U111" i="29" s="1"/>
  <c r="U111" i="55" s="1"/>
  <c r="S271" i="29"/>
  <c r="U271" i="29" s="1"/>
  <c r="U271" i="55" s="1"/>
  <c r="S40" i="29"/>
  <c r="U40" i="29" s="1"/>
  <c r="U40" i="55" s="1"/>
  <c r="S72" i="29"/>
  <c r="U72" i="29" s="1"/>
  <c r="U72" i="55" s="1"/>
  <c r="S104" i="29"/>
  <c r="U104" i="29" s="1"/>
  <c r="U104" i="55" s="1"/>
  <c r="S136" i="29"/>
  <c r="U136" i="29" s="1"/>
  <c r="U136" i="55" s="1"/>
  <c r="S168" i="29"/>
  <c r="U168" i="29" s="1"/>
  <c r="U168" i="55" s="1"/>
  <c r="S200" i="29"/>
  <c r="U200" i="29" s="1"/>
  <c r="U200" i="55" s="1"/>
  <c r="S232" i="29"/>
  <c r="U232" i="29" s="1"/>
  <c r="U232" i="55" s="1"/>
  <c r="S264" i="29"/>
  <c r="U264" i="29" s="1"/>
  <c r="U264" i="55" s="1"/>
  <c r="S296" i="29"/>
  <c r="U296" i="29" s="1"/>
  <c r="U296" i="55" s="1"/>
  <c r="S29" i="29"/>
  <c r="U29" i="29" s="1"/>
  <c r="U29" i="55" s="1"/>
  <c r="S61" i="29"/>
  <c r="U61" i="29" s="1"/>
  <c r="U61" i="55" s="1"/>
  <c r="S93" i="29"/>
  <c r="U93" i="29" s="1"/>
  <c r="U93" i="55" s="1"/>
  <c r="S125" i="29"/>
  <c r="U125" i="29" s="1"/>
  <c r="U125" i="55" s="1"/>
  <c r="S157" i="29"/>
  <c r="U157" i="29" s="1"/>
  <c r="U157" i="55" s="1"/>
  <c r="S189" i="29"/>
  <c r="U189" i="29" s="1"/>
  <c r="U189" i="55" s="1"/>
  <c r="S221" i="29"/>
  <c r="U221" i="29" s="1"/>
  <c r="U221" i="55" s="1"/>
  <c r="S253" i="29"/>
  <c r="S285" i="29"/>
  <c r="U285" i="29" s="1"/>
  <c r="U285" i="55" s="1"/>
  <c r="S18" i="29"/>
  <c r="U18" i="29" s="1"/>
  <c r="U18" i="55" s="1"/>
  <c r="S50" i="29"/>
  <c r="U50" i="29" s="1"/>
  <c r="U50" i="55" s="1"/>
  <c r="S82" i="29"/>
  <c r="U82" i="29" s="1"/>
  <c r="U82" i="55" s="1"/>
  <c r="S114" i="29"/>
  <c r="U114" i="29" s="1"/>
  <c r="U114" i="55" s="1"/>
  <c r="S146" i="29"/>
  <c r="U146" i="29" s="1"/>
  <c r="U146" i="55" s="1"/>
  <c r="S178" i="29"/>
  <c r="U178" i="29" s="1"/>
  <c r="U178" i="55" s="1"/>
  <c r="S210" i="29"/>
  <c r="U210" i="29" s="1"/>
  <c r="U210" i="55" s="1"/>
  <c r="S71" i="29"/>
  <c r="U71" i="29" s="1"/>
  <c r="U71" i="55" s="1"/>
  <c r="S199" i="29"/>
  <c r="U199" i="29" s="1"/>
  <c r="U199" i="55" s="1"/>
  <c r="S175" i="29"/>
  <c r="U175" i="29" s="1"/>
  <c r="U175" i="55" s="1"/>
  <c r="S52" i="29"/>
  <c r="U52" i="29" s="1"/>
  <c r="U52" i="55" s="1"/>
  <c r="S12" i="29"/>
  <c r="U12" i="29" s="1"/>
  <c r="U12" i="55" s="1"/>
  <c r="S44" i="29"/>
  <c r="U44" i="29" s="1"/>
  <c r="U44" i="55" s="1"/>
  <c r="S76" i="29"/>
  <c r="U76" i="29" s="1"/>
  <c r="U76" i="55" s="1"/>
  <c r="S108" i="29"/>
  <c r="U108" i="29" s="1"/>
  <c r="U108" i="55" s="1"/>
  <c r="S140" i="29"/>
  <c r="U140" i="29" s="1"/>
  <c r="U140" i="55" s="1"/>
  <c r="S172" i="29"/>
  <c r="U172" i="29" s="1"/>
  <c r="U172" i="55" s="1"/>
  <c r="S204" i="29"/>
  <c r="U204" i="29" s="1"/>
  <c r="U204" i="55" s="1"/>
  <c r="S236" i="29"/>
  <c r="U236" i="29" s="1"/>
  <c r="U236" i="55" s="1"/>
  <c r="S268" i="29"/>
  <c r="U268" i="29" s="1"/>
  <c r="U268" i="55" s="1"/>
  <c r="S300" i="29"/>
  <c r="U300" i="29" s="1"/>
  <c r="U300" i="55" s="1"/>
  <c r="S33" i="29"/>
  <c r="U33" i="29" s="1"/>
  <c r="U33" i="55" s="1"/>
  <c r="S65" i="29"/>
  <c r="U65" i="29" s="1"/>
  <c r="U65" i="55" s="1"/>
  <c r="S97" i="29"/>
  <c r="U97" i="29" s="1"/>
  <c r="U97" i="55" s="1"/>
  <c r="S129" i="29"/>
  <c r="U129" i="29" s="1"/>
  <c r="U129" i="55" s="1"/>
  <c r="S161" i="29"/>
  <c r="U161" i="29" s="1"/>
  <c r="U161" i="55" s="1"/>
  <c r="S193" i="29"/>
  <c r="U193" i="29" s="1"/>
  <c r="U193" i="55" s="1"/>
  <c r="S225" i="29"/>
  <c r="U225" i="29" s="1"/>
  <c r="U225" i="55" s="1"/>
  <c r="S257" i="29"/>
  <c r="U257" i="29" s="1"/>
  <c r="U257" i="55" s="1"/>
  <c r="S289" i="29"/>
  <c r="U289" i="29" s="1"/>
  <c r="U289" i="55" s="1"/>
  <c r="S22" i="29"/>
  <c r="U22" i="29" s="1"/>
  <c r="U22" i="55" s="1"/>
  <c r="S54" i="29"/>
  <c r="U54" i="29" s="1"/>
  <c r="U54" i="55" s="1"/>
  <c r="S86" i="29"/>
  <c r="U86" i="29" s="1"/>
  <c r="U86" i="55" s="1"/>
  <c r="S118" i="29"/>
  <c r="U118" i="29" s="1"/>
  <c r="U118" i="55" s="1"/>
  <c r="S150" i="29"/>
  <c r="U150" i="29" s="1"/>
  <c r="U150" i="55" s="1"/>
  <c r="S182" i="29"/>
  <c r="U182" i="29" s="1"/>
  <c r="U182" i="55" s="1"/>
  <c r="S214" i="29"/>
  <c r="U214" i="29" s="1"/>
  <c r="U214" i="55" s="1"/>
  <c r="S246" i="29"/>
  <c r="U246" i="29" s="1"/>
  <c r="U246" i="55" s="1"/>
  <c r="S278" i="29"/>
  <c r="U278" i="29" s="1"/>
  <c r="U278" i="55" s="1"/>
  <c r="S11" i="29"/>
  <c r="U11" i="29" s="1"/>
  <c r="U11" i="55" s="1"/>
  <c r="S43" i="29"/>
  <c r="U43" i="29" s="1"/>
  <c r="U43" i="55" s="1"/>
  <c r="S75" i="29"/>
  <c r="U75" i="29" s="1"/>
  <c r="U75" i="55" s="1"/>
  <c r="S107" i="29"/>
  <c r="U107" i="29" s="1"/>
  <c r="U107" i="55" s="1"/>
  <c r="S139" i="29"/>
  <c r="U139" i="29" s="1"/>
  <c r="U139" i="55" s="1"/>
  <c r="S171" i="29"/>
  <c r="U171" i="29" s="1"/>
  <c r="U171" i="55" s="1"/>
  <c r="S203" i="29"/>
  <c r="U203" i="29" s="1"/>
  <c r="U203" i="55" s="1"/>
  <c r="S235" i="29"/>
  <c r="U235" i="29" s="1"/>
  <c r="U235" i="55" s="1"/>
  <c r="S267" i="29"/>
  <c r="U267" i="29" s="1"/>
  <c r="U267" i="55" s="1"/>
  <c r="S143" i="29"/>
  <c r="U143" i="29" s="1"/>
  <c r="U143" i="55" s="1"/>
  <c r="S16" i="29"/>
  <c r="U16" i="29" s="1"/>
  <c r="U16" i="55" s="1"/>
  <c r="S48" i="29"/>
  <c r="U48" i="29" s="1"/>
  <c r="U48" i="55" s="1"/>
  <c r="S80" i="29"/>
  <c r="U80" i="29" s="1"/>
  <c r="U80" i="55" s="1"/>
  <c r="S112" i="29"/>
  <c r="U112" i="29" s="1"/>
  <c r="U112" i="55" s="1"/>
  <c r="S144" i="29"/>
  <c r="U144" i="29" s="1"/>
  <c r="U144" i="55" s="1"/>
  <c r="S176" i="29"/>
  <c r="U176" i="29" s="1"/>
  <c r="U176" i="55" s="1"/>
  <c r="S208" i="29"/>
  <c r="U208" i="29" s="1"/>
  <c r="U208" i="55" s="1"/>
  <c r="S240" i="29"/>
  <c r="U240" i="29" s="1"/>
  <c r="U240" i="55" s="1"/>
  <c r="S272" i="29"/>
  <c r="U272" i="29" s="1"/>
  <c r="U272" i="55" s="1"/>
  <c r="S304" i="29"/>
  <c r="U304" i="29" s="1"/>
  <c r="U304" i="55" s="1"/>
  <c r="S37" i="29"/>
  <c r="U37" i="29" s="1"/>
  <c r="U37" i="55" s="1"/>
  <c r="S69" i="29"/>
  <c r="U69" i="29" s="1"/>
  <c r="U69" i="55" s="1"/>
  <c r="S101" i="29"/>
  <c r="U101" i="29" s="1"/>
  <c r="U101" i="55" s="1"/>
  <c r="S133" i="29"/>
  <c r="U133" i="29" s="1"/>
  <c r="U133" i="55" s="1"/>
  <c r="S165" i="29"/>
  <c r="U165" i="29" s="1"/>
  <c r="U165" i="55" s="1"/>
  <c r="S197" i="29"/>
  <c r="U197" i="29" s="1"/>
  <c r="U197" i="55" s="1"/>
  <c r="S229" i="29"/>
  <c r="U229" i="29" s="1"/>
  <c r="U229" i="55" s="1"/>
  <c r="S261" i="29"/>
  <c r="U261" i="29" s="1"/>
  <c r="U261" i="55" s="1"/>
  <c r="S293" i="29"/>
  <c r="U293" i="29" s="1"/>
  <c r="U293" i="55" s="1"/>
  <c r="S26" i="29"/>
  <c r="U26" i="29" s="1"/>
  <c r="U26" i="55" s="1"/>
  <c r="S58" i="29"/>
  <c r="U58" i="29" s="1"/>
  <c r="U58" i="55" s="1"/>
  <c r="S90" i="29"/>
  <c r="U90" i="29" s="1"/>
  <c r="U90" i="55" s="1"/>
  <c r="S122" i="29"/>
  <c r="U122" i="29" s="1"/>
  <c r="U122" i="55" s="1"/>
  <c r="S154" i="29"/>
  <c r="U154" i="29" s="1"/>
  <c r="U154" i="55" s="1"/>
  <c r="S186" i="29"/>
  <c r="U186" i="29" s="1"/>
  <c r="U186" i="55" s="1"/>
  <c r="S218" i="29"/>
  <c r="U218" i="29" s="1"/>
  <c r="U218" i="55" s="1"/>
  <c r="S250" i="29"/>
  <c r="U250" i="29" s="1"/>
  <c r="U250" i="55" s="1"/>
  <c r="S282" i="29"/>
  <c r="U282" i="29" s="1"/>
  <c r="U282" i="55" s="1"/>
  <c r="S15" i="29"/>
  <c r="U15" i="29" s="1"/>
  <c r="U15" i="55" s="1"/>
  <c r="S239" i="29"/>
  <c r="U239" i="29" s="1"/>
  <c r="U239" i="55" s="1"/>
  <c r="S116" i="29"/>
  <c r="U116" i="29" s="1"/>
  <c r="U116" i="55" s="1"/>
  <c r="S73" i="29"/>
  <c r="U73" i="29" s="1"/>
  <c r="U73" i="55" s="1"/>
  <c r="S30" i="29"/>
  <c r="U30" i="29" s="1"/>
  <c r="U30" i="55" s="1"/>
  <c r="S286" i="29"/>
  <c r="U286" i="29" s="1"/>
  <c r="U286" i="55" s="1"/>
  <c r="S243" i="29"/>
  <c r="U243" i="29" s="1"/>
  <c r="U243" i="55" s="1"/>
  <c r="S105" i="29"/>
  <c r="U105" i="29" s="1"/>
  <c r="U105" i="55" s="1"/>
  <c r="S19" i="29"/>
  <c r="U19" i="29" s="1"/>
  <c r="U19" i="55" s="1"/>
  <c r="S137" i="29"/>
  <c r="U137" i="29" s="1"/>
  <c r="U137" i="55" s="1"/>
  <c r="S307" i="29"/>
  <c r="U307" i="29" s="1"/>
  <c r="U307" i="55" s="1"/>
  <c r="S169" i="29"/>
  <c r="U169" i="29" s="1"/>
  <c r="U169" i="55" s="1"/>
  <c r="S201" i="29"/>
  <c r="U201" i="29" s="1"/>
  <c r="U201" i="55" s="1"/>
  <c r="S276" i="29"/>
  <c r="U276" i="29" s="1"/>
  <c r="U276" i="55" s="1"/>
  <c r="S190" i="29"/>
  <c r="U190" i="29" s="1"/>
  <c r="U190" i="55" s="1"/>
  <c r="S265" i="29"/>
  <c r="U265" i="29" s="1"/>
  <c r="U265" i="55" s="1"/>
  <c r="S297" i="29"/>
  <c r="U297" i="29" s="1"/>
  <c r="U297" i="55" s="1"/>
  <c r="S148" i="29"/>
  <c r="U148" i="29" s="1"/>
  <c r="U148" i="55" s="1"/>
  <c r="S62" i="29"/>
  <c r="U62" i="29" s="1"/>
  <c r="U62" i="55" s="1"/>
  <c r="S275" i="29"/>
  <c r="U275" i="29" s="1"/>
  <c r="U275" i="55" s="1"/>
  <c r="S94" i="29"/>
  <c r="U94" i="29" s="1"/>
  <c r="U94" i="55" s="1"/>
  <c r="S212" i="29"/>
  <c r="U212" i="29" s="1"/>
  <c r="U212" i="55" s="1"/>
  <c r="S83" i="29"/>
  <c r="U83" i="29" s="1"/>
  <c r="U83" i="55" s="1"/>
  <c r="S158" i="29"/>
  <c r="U158" i="29" s="1"/>
  <c r="U158" i="55" s="1"/>
  <c r="S233" i="29"/>
  <c r="U233" i="29" s="1"/>
  <c r="U233" i="55" s="1"/>
  <c r="S9" i="29"/>
  <c r="U9" i="29" s="1"/>
  <c r="U9" i="55" s="1"/>
  <c r="S179" i="29"/>
  <c r="U179" i="29" s="1"/>
  <c r="U179" i="55" s="1"/>
  <c r="S254" i="29"/>
  <c r="U254" i="29" s="1"/>
  <c r="U254" i="55" s="1"/>
  <c r="S180" i="29"/>
  <c r="U180" i="29" s="1"/>
  <c r="U180" i="55" s="1"/>
  <c r="S51" i="29"/>
  <c r="U51" i="29" s="1"/>
  <c r="U51" i="55" s="1"/>
  <c r="S126" i="29"/>
  <c r="U126" i="29" s="1"/>
  <c r="U126" i="55" s="1"/>
  <c r="S244" i="29"/>
  <c r="U244" i="29" s="1"/>
  <c r="U244" i="55" s="1"/>
  <c r="S115" i="29"/>
  <c r="U115" i="29" s="1"/>
  <c r="U115" i="55" s="1"/>
  <c r="S147" i="29"/>
  <c r="U147" i="29" s="1"/>
  <c r="U147" i="55" s="1"/>
  <c r="S222" i="29"/>
  <c r="U222" i="29" s="1"/>
  <c r="U222" i="55" s="1"/>
  <c r="S41" i="29"/>
  <c r="U41" i="29" s="1"/>
  <c r="U41" i="55" s="1"/>
  <c r="S211" i="29"/>
  <c r="U211" i="29" s="1"/>
  <c r="U211" i="55" s="1"/>
  <c r="S84" i="29"/>
  <c r="U84" i="29" s="1"/>
  <c r="U84" i="55" s="1"/>
  <c r="U166" i="29" l="1"/>
  <c r="U166" i="55" s="1"/>
  <c r="E26" i="57" s="1"/>
  <c r="H26" i="57" s="1"/>
  <c r="E28" i="57"/>
  <c r="H28" i="57" s="1"/>
  <c r="U8" i="29"/>
  <c r="U8" i="55" s="1"/>
  <c r="U253" i="29"/>
  <c r="U33" i="45"/>
  <c r="P33" i="45" s="1"/>
  <c r="N7" i="45"/>
  <c r="N9" i="45" s="1"/>
  <c r="I10" i="45" s="1"/>
  <c r="S308" i="29"/>
  <c r="S311" i="29" s="1"/>
  <c r="T220" i="29" s="1"/>
  <c r="U220" i="29" s="1"/>
  <c r="U220" i="55" s="1"/>
  <c r="U253" i="55" l="1"/>
  <c r="U37" i="45"/>
  <c r="T308" i="29"/>
  <c r="T3" i="29" s="1"/>
  <c r="N36" i="45" l="1"/>
  <c r="U308" i="55"/>
  <c r="U308" i="29"/>
  <c r="U3" i="29" s="1"/>
  <c r="U308" i="2" l="1"/>
  <c r="O308" i="2"/>
  <c r="P308" i="2"/>
  <c r="I308" i="2"/>
  <c r="H308" i="2"/>
  <c r="J308" i="2"/>
  <c r="M308" i="2"/>
  <c r="G308" i="2"/>
  <c r="T4" i="2" l="1" a="1"/>
  <c r="T4" i="2" s="1"/>
  <c r="T8" i="2" s="1"/>
  <c r="W8" i="2" s="1"/>
  <c r="X8" i="2" s="1"/>
  <c r="V308" i="2"/>
  <c r="H18" i="59" l="1"/>
  <c r="D8" i="3"/>
  <c r="T22" i="2"/>
  <c r="W22" i="2" s="1"/>
  <c r="D22" i="3" s="1"/>
  <c r="T181" i="2"/>
  <c r="W181" i="2" s="1"/>
  <c r="D181" i="3" s="1"/>
  <c r="T288" i="2"/>
  <c r="W288" i="2" s="1"/>
  <c r="D288" i="3" s="1"/>
  <c r="T104" i="2"/>
  <c r="W104" i="2" s="1"/>
  <c r="D104" i="3" s="1"/>
  <c r="T303" i="2"/>
  <c r="W303" i="2" s="1"/>
  <c r="D303" i="3" s="1"/>
  <c r="T151" i="2"/>
  <c r="W151" i="2" s="1"/>
  <c r="D151" i="3" s="1"/>
  <c r="T38" i="2"/>
  <c r="W38" i="2" s="1"/>
  <c r="D38" i="3" s="1"/>
  <c r="T180" i="2"/>
  <c r="W180" i="2" s="1"/>
  <c r="D180" i="3" s="1"/>
  <c r="T278" i="2"/>
  <c r="W278" i="2" s="1"/>
  <c r="D278" i="3" s="1"/>
  <c r="T259" i="2"/>
  <c r="W259" i="2" s="1"/>
  <c r="D259" i="3" s="1"/>
  <c r="T75" i="2"/>
  <c r="W75" i="2" s="1"/>
  <c r="D75" i="3" s="1"/>
  <c r="T298" i="2"/>
  <c r="W298" i="2" s="1"/>
  <c r="D298" i="3" s="1"/>
  <c r="T146" i="2"/>
  <c r="W146" i="2" s="1"/>
  <c r="D146" i="3" s="1"/>
  <c r="T78" i="2"/>
  <c r="W78" i="2" s="1"/>
  <c r="D78" i="3" s="1"/>
  <c r="T201" i="2"/>
  <c r="W201" i="2" s="1"/>
  <c r="D201" i="3" s="1"/>
  <c r="T49" i="2"/>
  <c r="W49" i="2" s="1"/>
  <c r="D49" i="3" s="1"/>
  <c r="T248" i="2"/>
  <c r="W248" i="2" s="1"/>
  <c r="D248" i="3" s="1"/>
  <c r="T96" i="2"/>
  <c r="W96" i="2" s="1"/>
  <c r="D96" i="3" s="1"/>
  <c r="T287" i="2"/>
  <c r="W287" i="2" s="1"/>
  <c r="D287" i="3" s="1"/>
  <c r="T111" i="2"/>
  <c r="W111" i="2" s="1"/>
  <c r="D111" i="3" s="1"/>
  <c r="T277" i="2"/>
  <c r="W277" i="2" s="1"/>
  <c r="D277" i="3" s="1"/>
  <c r="T172" i="2"/>
  <c r="W172" i="2" s="1"/>
  <c r="D172" i="3" s="1"/>
  <c r="T190" i="2"/>
  <c r="W190" i="2" s="1"/>
  <c r="D190" i="3" s="1"/>
  <c r="T219" i="2"/>
  <c r="W219" i="2" s="1"/>
  <c r="D219" i="3" s="1"/>
  <c r="T67" i="2"/>
  <c r="W67" i="2" s="1"/>
  <c r="D67" i="3" s="1"/>
  <c r="T282" i="2"/>
  <c r="W282" i="2" s="1"/>
  <c r="D282" i="3" s="1"/>
  <c r="T106" i="2"/>
  <c r="W106" i="2" s="1"/>
  <c r="D106" i="3" s="1"/>
  <c r="T54" i="2"/>
  <c r="W54" i="2" s="1"/>
  <c r="D54" i="3" s="1"/>
  <c r="T185" i="2"/>
  <c r="W185" i="2" s="1"/>
  <c r="D185" i="3" s="1"/>
  <c r="T9" i="2"/>
  <c r="W9" i="2" s="1"/>
  <c r="D9" i="3" s="1"/>
  <c r="T196" i="2"/>
  <c r="W196" i="2" s="1"/>
  <c r="D196" i="3" s="1"/>
  <c r="T232" i="2"/>
  <c r="W232" i="2" s="1"/>
  <c r="D232" i="3" s="1"/>
  <c r="T56" i="2"/>
  <c r="W56" i="2" s="1"/>
  <c r="D56" i="3" s="1"/>
  <c r="T279" i="2"/>
  <c r="W279" i="2" s="1"/>
  <c r="D279" i="3" s="1"/>
  <c r="T95" i="2"/>
  <c r="W95" i="2" s="1"/>
  <c r="D95" i="3" s="1"/>
  <c r="T53" i="2"/>
  <c r="W53" i="2" s="1"/>
  <c r="D53" i="3" s="1"/>
  <c r="T132" i="2"/>
  <c r="W132" i="2" s="1"/>
  <c r="D132" i="3" s="1"/>
  <c r="T150" i="2"/>
  <c r="W150" i="2" s="1"/>
  <c r="D150" i="3" s="1"/>
  <c r="T203" i="2"/>
  <c r="W203" i="2" s="1"/>
  <c r="D203" i="3" s="1"/>
  <c r="T27" i="2"/>
  <c r="W27" i="2" s="1"/>
  <c r="D27" i="3" s="1"/>
  <c r="T274" i="2"/>
  <c r="W274" i="2" s="1"/>
  <c r="D274" i="3" s="1"/>
  <c r="T90" i="2"/>
  <c r="W90" i="2" s="1"/>
  <c r="D90" i="3" s="1"/>
  <c r="T133" i="2"/>
  <c r="W133" i="2" s="1"/>
  <c r="D133" i="3" s="1"/>
  <c r="T177" i="2"/>
  <c r="W177" i="2" s="1"/>
  <c r="D177" i="3" s="1"/>
  <c r="T159" i="2"/>
  <c r="W159" i="2" s="1"/>
  <c r="D159" i="3" s="1"/>
  <c r="T91" i="2"/>
  <c r="W91" i="2" s="1"/>
  <c r="D91" i="3" s="1"/>
  <c r="T57" i="2"/>
  <c r="W57" i="2" s="1"/>
  <c r="D57" i="3" s="1"/>
  <c r="T110" i="2"/>
  <c r="W110" i="2" s="1"/>
  <c r="D110" i="3" s="1"/>
  <c r="T224" i="2"/>
  <c r="W224" i="2" s="1"/>
  <c r="D224" i="3" s="1"/>
  <c r="T40" i="2"/>
  <c r="W40" i="2" s="1"/>
  <c r="D40" i="3" s="1"/>
  <c r="T239" i="2"/>
  <c r="W239" i="2" s="1"/>
  <c r="D239" i="3" s="1"/>
  <c r="T87" i="2"/>
  <c r="W87" i="2" s="1"/>
  <c r="D87" i="3" s="1"/>
  <c r="T300" i="2"/>
  <c r="W300" i="2" s="1"/>
  <c r="D300" i="3" s="1"/>
  <c r="T116" i="2"/>
  <c r="W116" i="2" s="1"/>
  <c r="D116" i="3" s="1"/>
  <c r="T189" i="2"/>
  <c r="W189" i="2" s="1"/>
  <c r="D189" i="3" s="1"/>
  <c r="T195" i="2"/>
  <c r="W195" i="2" s="1"/>
  <c r="D195" i="3" s="1"/>
  <c r="T11" i="2"/>
  <c r="W11" i="2" s="1"/>
  <c r="D11" i="3" s="1"/>
  <c r="T234" i="2"/>
  <c r="W234" i="2" s="1"/>
  <c r="D234" i="3" s="1"/>
  <c r="T82" i="2"/>
  <c r="W82" i="2" s="1"/>
  <c r="D82" i="3" s="1"/>
  <c r="T13" i="2"/>
  <c r="W13" i="2" s="1"/>
  <c r="D13" i="3" s="1"/>
  <c r="T137" i="2"/>
  <c r="W137" i="2" s="1"/>
  <c r="D137" i="3" s="1"/>
  <c r="T120" i="2"/>
  <c r="W120" i="2" s="1"/>
  <c r="D120" i="3" s="1"/>
  <c r="T44" i="2"/>
  <c r="W44" i="2" s="1"/>
  <c r="D44" i="3" s="1"/>
  <c r="T166" i="2"/>
  <c r="W166" i="2" s="1"/>
  <c r="D166" i="3" s="1"/>
  <c r="T14" i="2"/>
  <c r="W14" i="2" s="1"/>
  <c r="D14" i="3" s="1"/>
  <c r="T184" i="2"/>
  <c r="W184" i="2" s="1"/>
  <c r="D184" i="3" s="1"/>
  <c r="T32" i="2"/>
  <c r="W32" i="2" s="1"/>
  <c r="D32" i="3" s="1"/>
  <c r="T223" i="2"/>
  <c r="W223" i="2" s="1"/>
  <c r="D223" i="3" s="1"/>
  <c r="T47" i="2"/>
  <c r="W47" i="2" s="1"/>
  <c r="D47" i="3" s="1"/>
  <c r="T260" i="2"/>
  <c r="W260" i="2" s="1"/>
  <c r="D260" i="3" s="1"/>
  <c r="T108" i="2"/>
  <c r="W108" i="2" s="1"/>
  <c r="D108" i="3" s="1"/>
  <c r="T109" i="2"/>
  <c r="W109" i="2" s="1"/>
  <c r="D109" i="3" s="1"/>
  <c r="T155" i="2"/>
  <c r="W155" i="2" s="1"/>
  <c r="D155" i="3" s="1"/>
  <c r="T294" i="2"/>
  <c r="W294" i="2" s="1"/>
  <c r="D294" i="3" s="1"/>
  <c r="T218" i="2"/>
  <c r="W218" i="2" s="1"/>
  <c r="D218" i="3" s="1"/>
  <c r="T42" i="2"/>
  <c r="W42" i="2" s="1"/>
  <c r="D42" i="3" s="1"/>
  <c r="T305" i="2"/>
  <c r="W305" i="2" s="1"/>
  <c r="D305" i="3" s="1"/>
  <c r="T121" i="2"/>
  <c r="W121" i="2" s="1"/>
  <c r="D121" i="3" s="1"/>
  <c r="T296" i="2"/>
  <c r="W296" i="2" s="1"/>
  <c r="D296" i="3" s="1"/>
  <c r="T267" i="2"/>
  <c r="W267" i="2" s="1"/>
  <c r="D267" i="3" s="1"/>
  <c r="T241" i="2"/>
  <c r="W241" i="2" s="1"/>
  <c r="D241" i="3" s="1"/>
  <c r="T253" i="2"/>
  <c r="W253" i="2" s="1"/>
  <c r="D253" i="3" s="1"/>
  <c r="T168" i="2"/>
  <c r="W168" i="2" s="1"/>
  <c r="D168" i="3" s="1"/>
  <c r="T182" i="2"/>
  <c r="W182" i="2" s="1"/>
  <c r="D182" i="3" s="1"/>
  <c r="T215" i="2"/>
  <c r="W215" i="2" s="1"/>
  <c r="D215" i="3" s="1"/>
  <c r="T31" i="2"/>
  <c r="W31" i="2" s="1"/>
  <c r="D31" i="3" s="1"/>
  <c r="T244" i="2"/>
  <c r="W244" i="2" s="1"/>
  <c r="D244" i="3" s="1"/>
  <c r="T68" i="2"/>
  <c r="W68" i="2" s="1"/>
  <c r="D68" i="3" s="1"/>
  <c r="T61" i="2"/>
  <c r="W61" i="2" s="1"/>
  <c r="D61" i="3" s="1"/>
  <c r="T139" i="2"/>
  <c r="W139" i="2" s="1"/>
  <c r="D139" i="3" s="1"/>
  <c r="T30" i="2"/>
  <c r="W30" i="2" s="1"/>
  <c r="D30" i="3" s="1"/>
  <c r="T210" i="2"/>
  <c r="W210" i="2" s="1"/>
  <c r="D210" i="3" s="1"/>
  <c r="T26" i="2"/>
  <c r="W26" i="2" s="1"/>
  <c r="D26" i="3" s="1"/>
  <c r="T265" i="2"/>
  <c r="W265" i="2" s="1"/>
  <c r="D265" i="3" s="1"/>
  <c r="T113" i="2"/>
  <c r="W113" i="2" s="1"/>
  <c r="D113" i="3" s="1"/>
  <c r="T126" i="2"/>
  <c r="W126" i="2" s="1"/>
  <c r="D126" i="3" s="1"/>
  <c r="T154" i="2"/>
  <c r="W154" i="2" s="1"/>
  <c r="D154" i="3" s="1"/>
  <c r="T45" i="2"/>
  <c r="W45" i="2" s="1"/>
  <c r="D45" i="3" s="1"/>
  <c r="T160" i="2"/>
  <c r="W160" i="2" s="1"/>
  <c r="D160" i="3" s="1"/>
  <c r="T70" i="2"/>
  <c r="W70" i="2" s="1"/>
  <c r="D70" i="3" s="1"/>
  <c r="T175" i="2"/>
  <c r="W175" i="2" s="1"/>
  <c r="D175" i="3" s="1"/>
  <c r="T23" i="2"/>
  <c r="W23" i="2" s="1"/>
  <c r="D23" i="3" s="1"/>
  <c r="T236" i="2"/>
  <c r="W236" i="2" s="1"/>
  <c r="D236" i="3" s="1"/>
  <c r="T52" i="2"/>
  <c r="W52" i="2" s="1"/>
  <c r="D52" i="3" s="1"/>
  <c r="T283" i="2"/>
  <c r="W283" i="2" s="1"/>
  <c r="D283" i="3" s="1"/>
  <c r="T131" i="2"/>
  <c r="W131" i="2" s="1"/>
  <c r="D131" i="3" s="1"/>
  <c r="T237" i="2"/>
  <c r="W237" i="2" s="1"/>
  <c r="D237" i="3" s="1"/>
  <c r="T170" i="2"/>
  <c r="W170" i="2" s="1"/>
  <c r="D170" i="3" s="1"/>
  <c r="T18" i="2"/>
  <c r="W18" i="2" s="1"/>
  <c r="D18" i="3" s="1"/>
  <c r="T249" i="2"/>
  <c r="W249" i="2" s="1"/>
  <c r="D249" i="3" s="1"/>
  <c r="T73" i="2"/>
  <c r="W73" i="2" s="1"/>
  <c r="D73" i="3" s="1"/>
  <c r="T213" i="2"/>
  <c r="W213" i="2" s="1"/>
  <c r="D213" i="3" s="1"/>
  <c r="T280" i="2"/>
  <c r="W280" i="2" s="1"/>
  <c r="D280" i="3" s="1"/>
  <c r="T216" i="2"/>
  <c r="W216" i="2" s="1"/>
  <c r="D216" i="3" s="1"/>
  <c r="T152" i="2"/>
  <c r="W152" i="2" s="1"/>
  <c r="D152" i="3" s="1"/>
  <c r="T88" i="2"/>
  <c r="W88" i="2" s="1"/>
  <c r="D88" i="3" s="1"/>
  <c r="T24" i="2"/>
  <c r="W24" i="2" s="1"/>
  <c r="D24" i="3" s="1"/>
  <c r="T269" i="2"/>
  <c r="W269" i="2" s="1"/>
  <c r="D269" i="3" s="1"/>
  <c r="T271" i="2"/>
  <c r="W271" i="2" s="1"/>
  <c r="D271" i="3" s="1"/>
  <c r="T207" i="2"/>
  <c r="W207" i="2" s="1"/>
  <c r="D207" i="3" s="1"/>
  <c r="T143" i="2"/>
  <c r="W143" i="2" s="1"/>
  <c r="D143" i="3" s="1"/>
  <c r="T79" i="2"/>
  <c r="W79" i="2" s="1"/>
  <c r="D79" i="3" s="1"/>
  <c r="T15" i="2"/>
  <c r="W15" i="2" s="1"/>
  <c r="D15" i="3" s="1"/>
  <c r="T245" i="2"/>
  <c r="W245" i="2" s="1"/>
  <c r="D245" i="3" s="1"/>
  <c r="T292" i="2"/>
  <c r="W292" i="2" s="1"/>
  <c r="D292" i="3" s="1"/>
  <c r="T228" i="2"/>
  <c r="W228" i="2" s="1"/>
  <c r="D228" i="3" s="1"/>
  <c r="T164" i="2"/>
  <c r="W164" i="2" s="1"/>
  <c r="D164" i="3" s="1"/>
  <c r="T100" i="2"/>
  <c r="W100" i="2" s="1"/>
  <c r="D100" i="3" s="1"/>
  <c r="T36" i="2"/>
  <c r="W36" i="2" s="1"/>
  <c r="D36" i="3" s="1"/>
  <c r="T102" i="2"/>
  <c r="W102" i="2" s="1"/>
  <c r="D102" i="3" s="1"/>
  <c r="T37" i="2"/>
  <c r="W37" i="2" s="1"/>
  <c r="D37" i="3" s="1"/>
  <c r="T251" i="2"/>
  <c r="W251" i="2" s="1"/>
  <c r="D251" i="3" s="1"/>
  <c r="T187" i="2"/>
  <c r="W187" i="2" s="1"/>
  <c r="D187" i="3" s="1"/>
  <c r="T123" i="2"/>
  <c r="W123" i="2" s="1"/>
  <c r="D123" i="3" s="1"/>
  <c r="T59" i="2"/>
  <c r="W59" i="2" s="1"/>
  <c r="D59" i="3" s="1"/>
  <c r="T246" i="2"/>
  <c r="W246" i="2" s="1"/>
  <c r="D246" i="3" s="1"/>
  <c r="T125" i="2"/>
  <c r="W125" i="2" s="1"/>
  <c r="D125" i="3" s="1"/>
  <c r="T266" i="2"/>
  <c r="W266" i="2" s="1"/>
  <c r="D266" i="3" s="1"/>
  <c r="T202" i="2"/>
  <c r="W202" i="2" s="1"/>
  <c r="D202" i="3" s="1"/>
  <c r="T138" i="2"/>
  <c r="W138" i="2" s="1"/>
  <c r="D138" i="3" s="1"/>
  <c r="T74" i="2"/>
  <c r="W74" i="2" s="1"/>
  <c r="D74" i="3" s="1"/>
  <c r="T10" i="2"/>
  <c r="W10" i="2" s="1"/>
  <c r="D10" i="3" s="1"/>
  <c r="T301" i="2"/>
  <c r="W301" i="2" s="1"/>
  <c r="D301" i="3" s="1"/>
  <c r="T297" i="2"/>
  <c r="W297" i="2" s="1"/>
  <c r="D297" i="3" s="1"/>
  <c r="T233" i="2"/>
  <c r="W233" i="2" s="1"/>
  <c r="D233" i="3" s="1"/>
  <c r="T169" i="2"/>
  <c r="W169" i="2" s="1"/>
  <c r="D169" i="3" s="1"/>
  <c r="T105" i="2"/>
  <c r="W105" i="2" s="1"/>
  <c r="D105" i="3" s="1"/>
  <c r="T41" i="2"/>
  <c r="W41" i="2" s="1"/>
  <c r="D41" i="3" s="1"/>
  <c r="T254" i="2"/>
  <c r="W254" i="2" s="1"/>
  <c r="D254" i="3" s="1"/>
  <c r="T165" i="2"/>
  <c r="W165" i="2" s="1"/>
  <c r="D165" i="3" s="1"/>
  <c r="T272" i="2"/>
  <c r="W272" i="2" s="1"/>
  <c r="D272" i="3" s="1"/>
  <c r="T208" i="2"/>
  <c r="W208" i="2" s="1"/>
  <c r="D208" i="3" s="1"/>
  <c r="T144" i="2"/>
  <c r="W144" i="2" s="1"/>
  <c r="D144" i="3" s="1"/>
  <c r="T80" i="2"/>
  <c r="W80" i="2" s="1"/>
  <c r="D80" i="3" s="1"/>
  <c r="T16" i="2"/>
  <c r="W16" i="2" s="1"/>
  <c r="D16" i="3" s="1"/>
  <c r="T205" i="2"/>
  <c r="W205" i="2" s="1"/>
  <c r="D205" i="3" s="1"/>
  <c r="T263" i="2"/>
  <c r="W263" i="2" s="1"/>
  <c r="D263" i="3" s="1"/>
  <c r="T199" i="2"/>
  <c r="W199" i="2" s="1"/>
  <c r="D199" i="3" s="1"/>
  <c r="T135" i="2"/>
  <c r="W135" i="2" s="1"/>
  <c r="D135" i="3" s="1"/>
  <c r="T71" i="2"/>
  <c r="W71" i="2" s="1"/>
  <c r="D71" i="3" s="1"/>
  <c r="T262" i="2"/>
  <c r="W262" i="2" s="1"/>
  <c r="D262" i="3" s="1"/>
  <c r="T197" i="2"/>
  <c r="W197" i="2" s="1"/>
  <c r="D197" i="3" s="1"/>
  <c r="T284" i="2"/>
  <c r="W284" i="2" s="1"/>
  <c r="D284" i="3" s="1"/>
  <c r="T220" i="2"/>
  <c r="W220" i="2" s="1"/>
  <c r="D220" i="3" s="1"/>
  <c r="T156" i="2"/>
  <c r="W156" i="2" s="1"/>
  <c r="D156" i="3" s="1"/>
  <c r="T92" i="2"/>
  <c r="W92" i="2" s="1"/>
  <c r="D92" i="3" s="1"/>
  <c r="T28" i="2"/>
  <c r="W28" i="2" s="1"/>
  <c r="D28" i="3" s="1"/>
  <c r="T46" i="2"/>
  <c r="W46" i="2" s="1"/>
  <c r="D46" i="3" s="1"/>
  <c r="T307" i="2"/>
  <c r="W307" i="2" s="1"/>
  <c r="D307" i="3" s="1"/>
  <c r="T243" i="2"/>
  <c r="W243" i="2" s="1"/>
  <c r="D243" i="3" s="1"/>
  <c r="T179" i="2"/>
  <c r="W179" i="2" s="1"/>
  <c r="D179" i="3" s="1"/>
  <c r="T115" i="2"/>
  <c r="W115" i="2" s="1"/>
  <c r="D115" i="3" s="1"/>
  <c r="T51" i="2"/>
  <c r="W51" i="2" s="1"/>
  <c r="D51" i="3" s="1"/>
  <c r="T198" i="2"/>
  <c r="W198" i="2" s="1"/>
  <c r="D198" i="3" s="1"/>
  <c r="T77" i="2"/>
  <c r="W77" i="2" s="1"/>
  <c r="D77" i="3" s="1"/>
  <c r="T258" i="2"/>
  <c r="W258" i="2" s="1"/>
  <c r="D258" i="3" s="1"/>
  <c r="T194" i="2"/>
  <c r="W194" i="2" s="1"/>
  <c r="D194" i="3" s="1"/>
  <c r="T130" i="2"/>
  <c r="W130" i="2" s="1"/>
  <c r="D130" i="3" s="1"/>
  <c r="T66" i="2"/>
  <c r="W66" i="2" s="1"/>
  <c r="D66" i="3" s="1"/>
  <c r="T302" i="2"/>
  <c r="W302" i="2" s="1"/>
  <c r="D302" i="3" s="1"/>
  <c r="T261" i="2"/>
  <c r="W261" i="2" s="1"/>
  <c r="D261" i="3" s="1"/>
  <c r="T289" i="2"/>
  <c r="W289" i="2" s="1"/>
  <c r="D289" i="3" s="1"/>
  <c r="T225" i="2"/>
  <c r="W225" i="2" s="1"/>
  <c r="D225" i="3" s="1"/>
  <c r="T161" i="2"/>
  <c r="W161" i="2" s="1"/>
  <c r="D161" i="3" s="1"/>
  <c r="T97" i="2"/>
  <c r="W97" i="2" s="1"/>
  <c r="D97" i="3" s="1"/>
  <c r="T33" i="2"/>
  <c r="W33" i="2" s="1"/>
  <c r="D33" i="3" s="1"/>
  <c r="T206" i="2"/>
  <c r="W206" i="2" s="1"/>
  <c r="D206" i="3" s="1"/>
  <c r="T117" i="2"/>
  <c r="W117" i="2" s="1"/>
  <c r="D117" i="3" s="1"/>
  <c r="T264" i="2"/>
  <c r="W264" i="2" s="1"/>
  <c r="D264" i="3" s="1"/>
  <c r="T200" i="2"/>
  <c r="W200" i="2" s="1"/>
  <c r="D200" i="3" s="1"/>
  <c r="T136" i="2"/>
  <c r="W136" i="2" s="1"/>
  <c r="D136" i="3" s="1"/>
  <c r="T72" i="2"/>
  <c r="W72" i="2" s="1"/>
  <c r="D72" i="3" s="1"/>
  <c r="T286" i="2"/>
  <c r="W286" i="2" s="1"/>
  <c r="D286" i="3" s="1"/>
  <c r="T141" i="2"/>
  <c r="W141" i="2" s="1"/>
  <c r="D141" i="3" s="1"/>
  <c r="T255" i="2"/>
  <c r="W255" i="2" s="1"/>
  <c r="D255" i="3" s="1"/>
  <c r="T191" i="2"/>
  <c r="W191" i="2" s="1"/>
  <c r="D191" i="3" s="1"/>
  <c r="T127" i="2"/>
  <c r="W127" i="2" s="1"/>
  <c r="D127" i="3" s="1"/>
  <c r="T63" i="2"/>
  <c r="W63" i="2" s="1"/>
  <c r="D63" i="3" s="1"/>
  <c r="T214" i="2"/>
  <c r="W214" i="2" s="1"/>
  <c r="D214" i="3" s="1"/>
  <c r="T157" i="2"/>
  <c r="W157" i="2" s="1"/>
  <c r="D157" i="3" s="1"/>
  <c r="T276" i="2"/>
  <c r="W276" i="2" s="1"/>
  <c r="D276" i="3" s="1"/>
  <c r="T212" i="2"/>
  <c r="W212" i="2" s="1"/>
  <c r="D212" i="3" s="1"/>
  <c r="T148" i="2"/>
  <c r="W148" i="2" s="1"/>
  <c r="D148" i="3" s="1"/>
  <c r="T84" i="2"/>
  <c r="W84" i="2" s="1"/>
  <c r="D84" i="3" s="1"/>
  <c r="T20" i="2"/>
  <c r="W20" i="2" s="1"/>
  <c r="D20" i="3" s="1"/>
  <c r="T293" i="2"/>
  <c r="W293" i="2" s="1"/>
  <c r="D293" i="3" s="1"/>
  <c r="T299" i="2"/>
  <c r="W299" i="2" s="1"/>
  <c r="D299" i="3" s="1"/>
  <c r="T235" i="2"/>
  <c r="W235" i="2" s="1"/>
  <c r="D235" i="3" s="1"/>
  <c r="T171" i="2"/>
  <c r="W171" i="2" s="1"/>
  <c r="D171" i="3" s="1"/>
  <c r="T107" i="2"/>
  <c r="W107" i="2" s="1"/>
  <c r="D107" i="3" s="1"/>
  <c r="T43" i="2"/>
  <c r="W43" i="2" s="1"/>
  <c r="D43" i="3" s="1"/>
  <c r="T142" i="2"/>
  <c r="W142" i="2" s="1"/>
  <c r="D142" i="3" s="1"/>
  <c r="T21" i="2"/>
  <c r="W21" i="2" s="1"/>
  <c r="D21" i="3" s="1"/>
  <c r="T250" i="2"/>
  <c r="W250" i="2" s="1"/>
  <c r="D250" i="3" s="1"/>
  <c r="T186" i="2"/>
  <c r="W186" i="2" s="1"/>
  <c r="D186" i="3" s="1"/>
  <c r="T122" i="2"/>
  <c r="W122" i="2" s="1"/>
  <c r="D122" i="3" s="1"/>
  <c r="T58" i="2"/>
  <c r="W58" i="2" s="1"/>
  <c r="D58" i="3" s="1"/>
  <c r="T270" i="2"/>
  <c r="W270" i="2" s="1"/>
  <c r="D270" i="3" s="1"/>
  <c r="T221" i="2"/>
  <c r="W221" i="2" s="1"/>
  <c r="D221" i="3" s="1"/>
  <c r="T281" i="2"/>
  <c r="W281" i="2" s="1"/>
  <c r="D281" i="3" s="1"/>
  <c r="T217" i="2"/>
  <c r="W217" i="2" s="1"/>
  <c r="D217" i="3" s="1"/>
  <c r="T153" i="2"/>
  <c r="W153" i="2" s="1"/>
  <c r="D153" i="3" s="1"/>
  <c r="T89" i="2"/>
  <c r="W89" i="2" s="1"/>
  <c r="D89" i="3" s="1"/>
  <c r="T25" i="2"/>
  <c r="W25" i="2" s="1"/>
  <c r="D25" i="3" s="1"/>
  <c r="T158" i="2"/>
  <c r="W158" i="2" s="1"/>
  <c r="D158" i="3" s="1"/>
  <c r="T85" i="2"/>
  <c r="W85" i="2" s="1"/>
  <c r="D85" i="3" s="1"/>
  <c r="T256" i="2"/>
  <c r="W256" i="2" s="1"/>
  <c r="D256" i="3" s="1"/>
  <c r="T192" i="2"/>
  <c r="W192" i="2" s="1"/>
  <c r="D192" i="3" s="1"/>
  <c r="T128" i="2"/>
  <c r="W128" i="2" s="1"/>
  <c r="D128" i="3" s="1"/>
  <c r="T64" i="2"/>
  <c r="W64" i="2" s="1"/>
  <c r="D64" i="3" s="1"/>
  <c r="T230" i="2"/>
  <c r="W230" i="2" s="1"/>
  <c r="D230" i="3" s="1"/>
  <c r="T93" i="2"/>
  <c r="W93" i="2" s="1"/>
  <c r="D93" i="3" s="1"/>
  <c r="T247" i="2"/>
  <c r="W247" i="2" s="1"/>
  <c r="D247" i="3" s="1"/>
  <c r="T183" i="2"/>
  <c r="W183" i="2" s="1"/>
  <c r="D183" i="3" s="1"/>
  <c r="T119" i="2"/>
  <c r="W119" i="2" s="1"/>
  <c r="D119" i="3" s="1"/>
  <c r="T55" i="2"/>
  <c r="W55" i="2" s="1"/>
  <c r="D55" i="3" s="1"/>
  <c r="T174" i="2"/>
  <c r="W174" i="2" s="1"/>
  <c r="D174" i="3" s="1"/>
  <c r="T101" i="2"/>
  <c r="W101" i="2" s="1"/>
  <c r="D101" i="3" s="1"/>
  <c r="T268" i="2"/>
  <c r="W268" i="2" s="1"/>
  <c r="D268" i="3" s="1"/>
  <c r="T204" i="2"/>
  <c r="W204" i="2" s="1"/>
  <c r="D204" i="3" s="1"/>
  <c r="T140" i="2"/>
  <c r="W140" i="2" s="1"/>
  <c r="D140" i="3" s="1"/>
  <c r="T76" i="2"/>
  <c r="W76" i="2" s="1"/>
  <c r="D76" i="3" s="1"/>
  <c r="T12" i="2"/>
  <c r="W12" i="2" s="1"/>
  <c r="D12" i="3" s="1"/>
  <c r="T229" i="2"/>
  <c r="W229" i="2" s="1"/>
  <c r="D229" i="3" s="1"/>
  <c r="T291" i="2"/>
  <c r="W291" i="2" s="1"/>
  <c r="D291" i="3" s="1"/>
  <c r="T227" i="2"/>
  <c r="W227" i="2" s="1"/>
  <c r="D227" i="3" s="1"/>
  <c r="T163" i="2"/>
  <c r="W163" i="2" s="1"/>
  <c r="D163" i="3" s="1"/>
  <c r="T99" i="2"/>
  <c r="W99" i="2" s="1"/>
  <c r="D99" i="3" s="1"/>
  <c r="T35" i="2"/>
  <c r="W35" i="2" s="1"/>
  <c r="D35" i="3" s="1"/>
  <c r="T94" i="2"/>
  <c r="W94" i="2" s="1"/>
  <c r="D94" i="3" s="1"/>
  <c r="T306" i="2"/>
  <c r="W306" i="2" s="1"/>
  <c r="D306" i="3" s="1"/>
  <c r="T242" i="2"/>
  <c r="W242" i="2" s="1"/>
  <c r="D242" i="3" s="1"/>
  <c r="T178" i="2"/>
  <c r="W178" i="2" s="1"/>
  <c r="D178" i="3" s="1"/>
  <c r="T114" i="2"/>
  <c r="W114" i="2" s="1"/>
  <c r="D114" i="3" s="1"/>
  <c r="T50" i="2"/>
  <c r="W50" i="2" s="1"/>
  <c r="D50" i="3" s="1"/>
  <c r="T222" i="2"/>
  <c r="W222" i="2" s="1"/>
  <c r="D222" i="3" s="1"/>
  <c r="T173" i="2"/>
  <c r="W173" i="2" s="1"/>
  <c r="D173" i="3" s="1"/>
  <c r="T273" i="2"/>
  <c r="W273" i="2" s="1"/>
  <c r="D273" i="3" s="1"/>
  <c r="T209" i="2"/>
  <c r="W209" i="2" s="1"/>
  <c r="D209" i="3" s="1"/>
  <c r="T145" i="2"/>
  <c r="W145" i="2" s="1"/>
  <c r="D145" i="3" s="1"/>
  <c r="T81" i="2"/>
  <c r="W81" i="2" s="1"/>
  <c r="D81" i="3" s="1"/>
  <c r="T17" i="2"/>
  <c r="W17" i="2" s="1"/>
  <c r="D17" i="3" s="1"/>
  <c r="T62" i="2"/>
  <c r="W62" i="2" s="1"/>
  <c r="D62" i="3" s="1"/>
  <c r="T304" i="2"/>
  <c r="W304" i="2" s="1"/>
  <c r="D304" i="3" s="1"/>
  <c r="T240" i="2"/>
  <c r="W240" i="2" s="1"/>
  <c r="D240" i="3" s="1"/>
  <c r="T176" i="2"/>
  <c r="W176" i="2" s="1"/>
  <c r="D176" i="3" s="1"/>
  <c r="T112" i="2"/>
  <c r="W112" i="2" s="1"/>
  <c r="D112" i="3" s="1"/>
  <c r="T48" i="2"/>
  <c r="W48" i="2" s="1"/>
  <c r="D48" i="3" s="1"/>
  <c r="T134" i="2"/>
  <c r="W134" i="2" s="1"/>
  <c r="D134" i="3" s="1"/>
  <c r="T295" i="2"/>
  <c r="W295" i="2" s="1"/>
  <c r="D295" i="3" s="1"/>
  <c r="T231" i="2"/>
  <c r="W231" i="2" s="1"/>
  <c r="D231" i="3" s="1"/>
  <c r="T167" i="2"/>
  <c r="W167" i="2" s="1"/>
  <c r="D167" i="3" s="1"/>
  <c r="T103" i="2"/>
  <c r="W103" i="2" s="1"/>
  <c r="D103" i="3" s="1"/>
  <c r="T39" i="2"/>
  <c r="W39" i="2" s="1"/>
  <c r="D39" i="3" s="1"/>
  <c r="T86" i="2"/>
  <c r="W86" i="2" s="1"/>
  <c r="D86" i="3" s="1"/>
  <c r="T29" i="2"/>
  <c r="W29" i="2" s="1"/>
  <c r="D29" i="3" s="1"/>
  <c r="T252" i="2"/>
  <c r="W252" i="2" s="1"/>
  <c r="D252" i="3" s="1"/>
  <c r="T188" i="2"/>
  <c r="W188" i="2" s="1"/>
  <c r="D188" i="3" s="1"/>
  <c r="T124" i="2"/>
  <c r="W124" i="2" s="1"/>
  <c r="D124" i="3" s="1"/>
  <c r="T60" i="2"/>
  <c r="W60" i="2" s="1"/>
  <c r="D60" i="3" s="1"/>
  <c r="T238" i="2"/>
  <c r="W238" i="2" s="1"/>
  <c r="D238" i="3" s="1"/>
  <c r="T149" i="2"/>
  <c r="W149" i="2" s="1"/>
  <c r="D149" i="3" s="1"/>
  <c r="T275" i="2"/>
  <c r="W275" i="2" s="1"/>
  <c r="D275" i="3" s="1"/>
  <c r="T211" i="2"/>
  <c r="W211" i="2" s="1"/>
  <c r="D211" i="3" s="1"/>
  <c r="T147" i="2"/>
  <c r="W147" i="2" s="1"/>
  <c r="D147" i="3" s="1"/>
  <c r="T83" i="2"/>
  <c r="W83" i="2" s="1"/>
  <c r="D83" i="3" s="1"/>
  <c r="T19" i="2"/>
  <c r="W19" i="2" s="1"/>
  <c r="D19" i="3" s="1"/>
  <c r="T285" i="2"/>
  <c r="W285" i="2" s="1"/>
  <c r="D285" i="3" s="1"/>
  <c r="T290" i="2"/>
  <c r="W290" i="2" s="1"/>
  <c r="D290" i="3" s="1"/>
  <c r="T226" i="2"/>
  <c r="W226" i="2" s="1"/>
  <c r="D226" i="3" s="1"/>
  <c r="T162" i="2"/>
  <c r="W162" i="2" s="1"/>
  <c r="D162" i="3" s="1"/>
  <c r="T98" i="2"/>
  <c r="W98" i="2" s="1"/>
  <c r="D98" i="3" s="1"/>
  <c r="T34" i="2"/>
  <c r="W34" i="2" s="1"/>
  <c r="D34" i="3" s="1"/>
  <c r="T118" i="2"/>
  <c r="W118" i="2" s="1"/>
  <c r="D118" i="3" s="1"/>
  <c r="T69" i="2"/>
  <c r="W69" i="2" s="1"/>
  <c r="D69" i="3" s="1"/>
  <c r="T257" i="2"/>
  <c r="W257" i="2" s="1"/>
  <c r="D257" i="3" s="1"/>
  <c r="T193" i="2"/>
  <c r="W193" i="2" s="1"/>
  <c r="D193" i="3" s="1"/>
  <c r="T129" i="2"/>
  <c r="W129" i="2" s="1"/>
  <c r="D129" i="3" s="1"/>
  <c r="T65" i="2"/>
  <c r="W65" i="2" s="1"/>
  <c r="D65" i="3" s="1"/>
  <c r="F260" i="3" l="1"/>
  <c r="F120" i="3"/>
  <c r="F116" i="3"/>
  <c r="F91" i="3"/>
  <c r="F150" i="3"/>
  <c r="F9" i="3"/>
  <c r="F172" i="3"/>
  <c r="F78" i="3"/>
  <c r="F151" i="3"/>
  <c r="F19" i="3"/>
  <c r="F268" i="3"/>
  <c r="F89" i="3"/>
  <c r="F136" i="3"/>
  <c r="F225" i="3"/>
  <c r="F28" i="3"/>
  <c r="F272" i="3"/>
  <c r="F164" i="3"/>
  <c r="F83" i="3"/>
  <c r="F295" i="3"/>
  <c r="F250" i="3"/>
  <c r="F200" i="3"/>
  <c r="F199" i="3"/>
  <c r="F165" i="3"/>
  <c r="F269" i="3"/>
  <c r="F252" i="3"/>
  <c r="F134" i="3"/>
  <c r="F81" i="3"/>
  <c r="F178" i="3"/>
  <c r="F291" i="3"/>
  <c r="F174" i="3"/>
  <c r="F128" i="3"/>
  <c r="F217" i="3"/>
  <c r="F21" i="3"/>
  <c r="F20" i="3"/>
  <c r="F127" i="3"/>
  <c r="F264" i="3"/>
  <c r="F261" i="3"/>
  <c r="F51" i="3"/>
  <c r="F156" i="3"/>
  <c r="F263" i="3"/>
  <c r="F254" i="3"/>
  <c r="F74" i="3"/>
  <c r="F187" i="3"/>
  <c r="F292" i="3"/>
  <c r="F24" i="3"/>
  <c r="F18" i="3"/>
  <c r="F175" i="3"/>
  <c r="F26" i="3"/>
  <c r="F215" i="3"/>
  <c r="F305" i="3"/>
  <c r="F47" i="3"/>
  <c r="F137" i="3"/>
  <c r="F300" i="3"/>
  <c r="F159" i="3"/>
  <c r="F132" i="3"/>
  <c r="F185" i="3"/>
  <c r="F277" i="3"/>
  <c r="F146" i="3"/>
  <c r="F303" i="3"/>
  <c r="F62" i="3"/>
  <c r="F163" i="3"/>
  <c r="F186" i="3"/>
  <c r="F299" i="3"/>
  <c r="F214" i="3"/>
  <c r="F77" i="3"/>
  <c r="F135" i="3"/>
  <c r="F59" i="3"/>
  <c r="F118" i="3"/>
  <c r="F188" i="3"/>
  <c r="F17" i="3"/>
  <c r="F114" i="3"/>
  <c r="F227" i="3"/>
  <c r="F101" i="3"/>
  <c r="F64" i="3"/>
  <c r="F293" i="3"/>
  <c r="F289" i="3"/>
  <c r="F92" i="3"/>
  <c r="F249" i="3"/>
  <c r="F265" i="3"/>
  <c r="F121" i="3"/>
  <c r="F98" i="3"/>
  <c r="F211" i="3"/>
  <c r="F29" i="3"/>
  <c r="F48" i="3"/>
  <c r="F145" i="3"/>
  <c r="F242" i="3"/>
  <c r="F229" i="3"/>
  <c r="F55" i="3"/>
  <c r="F192" i="3"/>
  <c r="F281" i="3"/>
  <c r="F142" i="3"/>
  <c r="F84" i="3"/>
  <c r="F191" i="3"/>
  <c r="F117" i="3"/>
  <c r="F302" i="3"/>
  <c r="F115" i="3"/>
  <c r="F220" i="3"/>
  <c r="F205" i="3"/>
  <c r="F41" i="3"/>
  <c r="F138" i="3"/>
  <c r="F251" i="3"/>
  <c r="F245" i="3"/>
  <c r="F88" i="3"/>
  <c r="F170" i="3"/>
  <c r="F70" i="3"/>
  <c r="F210" i="3"/>
  <c r="F182" i="3"/>
  <c r="F42" i="3"/>
  <c r="F223" i="3"/>
  <c r="F13" i="3"/>
  <c r="F87" i="3"/>
  <c r="F177" i="3"/>
  <c r="F53" i="3"/>
  <c r="F54" i="3"/>
  <c r="F111" i="3"/>
  <c r="F298" i="3"/>
  <c r="F104" i="3"/>
  <c r="F231" i="3"/>
  <c r="F50" i="3"/>
  <c r="F153" i="3"/>
  <c r="F63" i="3"/>
  <c r="F198" i="3"/>
  <c r="F10" i="3"/>
  <c r="F123" i="3"/>
  <c r="F228" i="3"/>
  <c r="F23" i="3"/>
  <c r="F31" i="3"/>
  <c r="F34" i="3"/>
  <c r="F147" i="3"/>
  <c r="F65" i="3"/>
  <c r="F162" i="3"/>
  <c r="F275" i="3"/>
  <c r="F86" i="3"/>
  <c r="F112" i="3"/>
  <c r="F209" i="3"/>
  <c r="F306" i="3"/>
  <c r="F12" i="3"/>
  <c r="F119" i="3"/>
  <c r="F256" i="3"/>
  <c r="F221" i="3"/>
  <c r="F43" i="3"/>
  <c r="F148" i="3"/>
  <c r="F255" i="3"/>
  <c r="F206" i="3"/>
  <c r="F66" i="3"/>
  <c r="F179" i="3"/>
  <c r="F284" i="3"/>
  <c r="F16" i="3"/>
  <c r="F105" i="3"/>
  <c r="F202" i="3"/>
  <c r="F37" i="3"/>
  <c r="F15" i="3"/>
  <c r="F152" i="3"/>
  <c r="F237" i="3"/>
  <c r="F160" i="3"/>
  <c r="F30" i="3"/>
  <c r="F168" i="3"/>
  <c r="F218" i="3"/>
  <c r="F32" i="3"/>
  <c r="F82" i="3"/>
  <c r="F239" i="3"/>
  <c r="F133" i="3"/>
  <c r="F95" i="3"/>
  <c r="F106" i="3"/>
  <c r="F287" i="3"/>
  <c r="F75" i="3"/>
  <c r="F288" i="3"/>
  <c r="F124" i="3"/>
  <c r="F230" i="3"/>
  <c r="F301" i="3"/>
  <c r="F129" i="3"/>
  <c r="F226" i="3"/>
  <c r="F149" i="3"/>
  <c r="F39" i="3"/>
  <c r="F176" i="3"/>
  <c r="F273" i="3"/>
  <c r="F94" i="3"/>
  <c r="F76" i="3"/>
  <c r="F183" i="3"/>
  <c r="F85" i="3"/>
  <c r="F270" i="3"/>
  <c r="F107" i="3"/>
  <c r="F212" i="3"/>
  <c r="F141" i="3"/>
  <c r="F33" i="3"/>
  <c r="F130" i="3"/>
  <c r="F243" i="3"/>
  <c r="F197" i="3"/>
  <c r="F80" i="3"/>
  <c r="F169" i="3"/>
  <c r="F266" i="3"/>
  <c r="F102" i="3"/>
  <c r="F79" i="3"/>
  <c r="F216" i="3"/>
  <c r="F131" i="3"/>
  <c r="F45" i="3"/>
  <c r="F139" i="3"/>
  <c r="F253" i="3"/>
  <c r="F294" i="3"/>
  <c r="F184" i="3"/>
  <c r="F234" i="3"/>
  <c r="F40" i="3"/>
  <c r="F90" i="3"/>
  <c r="F279" i="3"/>
  <c r="F282" i="3"/>
  <c r="F96" i="3"/>
  <c r="F259" i="3"/>
  <c r="F181" i="3"/>
  <c r="F286" i="3"/>
  <c r="F97" i="3"/>
  <c r="F194" i="3"/>
  <c r="F307" i="3"/>
  <c r="F262" i="3"/>
  <c r="F144" i="3"/>
  <c r="F233" i="3"/>
  <c r="F125" i="3"/>
  <c r="F36" i="3"/>
  <c r="F143" i="3"/>
  <c r="F280" i="3"/>
  <c r="F283" i="3"/>
  <c r="F154" i="3"/>
  <c r="F61" i="3"/>
  <c r="F241" i="3"/>
  <c r="F155" i="3"/>
  <c r="F14" i="3"/>
  <c r="F11" i="3"/>
  <c r="F224" i="3"/>
  <c r="F274" i="3"/>
  <c r="F56" i="3"/>
  <c r="F67" i="3"/>
  <c r="F248" i="3"/>
  <c r="F278" i="3"/>
  <c r="F22" i="3"/>
  <c r="F69" i="3"/>
  <c r="F193" i="3"/>
  <c r="F290" i="3"/>
  <c r="F238" i="3"/>
  <c r="F103" i="3"/>
  <c r="F240" i="3"/>
  <c r="F173" i="3"/>
  <c r="F35" i="3"/>
  <c r="F140" i="3"/>
  <c r="F247" i="3"/>
  <c r="F158" i="3"/>
  <c r="F58" i="3"/>
  <c r="F171" i="3"/>
  <c r="F276" i="3"/>
  <c r="F257" i="3"/>
  <c r="F285" i="3"/>
  <c r="F60" i="3"/>
  <c r="F167" i="3"/>
  <c r="F304" i="3"/>
  <c r="F222" i="3"/>
  <c r="F99" i="3"/>
  <c r="F204" i="3"/>
  <c r="F93" i="3"/>
  <c r="F25" i="3"/>
  <c r="F122" i="3"/>
  <c r="F235" i="3"/>
  <c r="F157" i="3"/>
  <c r="F72" i="3"/>
  <c r="F161" i="3"/>
  <c r="F258" i="3"/>
  <c r="F46" i="3"/>
  <c r="F71" i="3"/>
  <c r="F208" i="3"/>
  <c r="F297" i="3"/>
  <c r="F246" i="3"/>
  <c r="F100" i="3"/>
  <c r="F207" i="3"/>
  <c r="F213" i="3"/>
  <c r="F52" i="3"/>
  <c r="F126" i="3"/>
  <c r="F68" i="3"/>
  <c r="F267" i="3"/>
  <c r="F109" i="3"/>
  <c r="F166" i="3"/>
  <c r="F195" i="3"/>
  <c r="F110" i="3"/>
  <c r="F27" i="3"/>
  <c r="F232" i="3"/>
  <c r="F219" i="3"/>
  <c r="F49" i="3"/>
  <c r="F180" i="3"/>
  <c r="F271" i="3"/>
  <c r="F73" i="3"/>
  <c r="F236" i="3"/>
  <c r="F113" i="3"/>
  <c r="F244" i="3"/>
  <c r="F296" i="3"/>
  <c r="F108" i="3"/>
  <c r="F44" i="3"/>
  <c r="F189" i="3"/>
  <c r="F57" i="3"/>
  <c r="F203" i="3"/>
  <c r="F196" i="3"/>
  <c r="F190" i="3"/>
  <c r="F201" i="3"/>
  <c r="F38" i="3"/>
  <c r="G6" i="45"/>
  <c r="X132" i="2"/>
  <c r="X303" i="2"/>
  <c r="X57" i="2"/>
  <c r="X224" i="2"/>
  <c r="X107" i="2"/>
  <c r="X125" i="2"/>
  <c r="X251" i="2"/>
  <c r="X22" i="2"/>
  <c r="X181" i="2"/>
  <c r="X40" i="2"/>
  <c r="X184" i="2"/>
  <c r="X96" i="2"/>
  <c r="X139" i="2"/>
  <c r="X278" i="2"/>
  <c r="X11" i="2"/>
  <c r="X208" i="2"/>
  <c r="X36" i="2"/>
  <c r="X71" i="2"/>
  <c r="X56" i="2"/>
  <c r="X61" i="2"/>
  <c r="X274" i="2"/>
  <c r="X203" i="2"/>
  <c r="X253" i="2"/>
  <c r="X196" i="2"/>
  <c r="X160" i="2"/>
  <c r="X133" i="2"/>
  <c r="X75" i="2"/>
  <c r="X238" i="2"/>
  <c r="X237" i="2"/>
  <c r="X239" i="2"/>
  <c r="X103" i="2"/>
  <c r="X152" i="2"/>
  <c r="X95" i="2"/>
  <c r="X82" i="2"/>
  <c r="X187" i="2"/>
  <c r="X277" i="2"/>
  <c r="X43" i="2"/>
  <c r="X9" i="2"/>
  <c r="X146" i="2"/>
  <c r="X137" i="2"/>
  <c r="X185" i="2"/>
  <c r="X159" i="2"/>
  <c r="X300" i="2"/>
  <c r="X292" i="2"/>
  <c r="X74" i="2"/>
  <c r="X24" i="2"/>
  <c r="X305" i="2"/>
  <c r="X212" i="2"/>
  <c r="X226" i="2"/>
  <c r="X141" i="2"/>
  <c r="X111" i="2"/>
  <c r="X13" i="2"/>
  <c r="X87" i="2"/>
  <c r="X223" i="2"/>
  <c r="X54" i="2"/>
  <c r="X166" i="2"/>
  <c r="X219" i="2"/>
  <c r="X180" i="2"/>
  <c r="X232" i="2"/>
  <c r="X109" i="2"/>
  <c r="X49" i="2"/>
  <c r="X27" i="2"/>
  <c r="X113" i="2"/>
  <c r="X91" i="2"/>
  <c r="X260" i="2"/>
  <c r="X172" i="2"/>
  <c r="X129" i="2"/>
  <c r="D308" i="3"/>
  <c r="F308" i="3" s="1"/>
  <c r="F8" i="3"/>
  <c r="H22" i="59" s="1"/>
  <c r="X151" i="2"/>
  <c r="X121" i="2"/>
  <c r="X68" i="2"/>
  <c r="X126" i="2"/>
  <c r="X44" i="2"/>
  <c r="X38" i="2"/>
  <c r="X201" i="2"/>
  <c r="X233" i="2"/>
  <c r="X108" i="2"/>
  <c r="X46" i="2"/>
  <c r="X45" i="2"/>
  <c r="X131" i="2"/>
  <c r="X294" i="2"/>
  <c r="X291" i="2"/>
  <c r="X242" i="2"/>
  <c r="X165" i="2"/>
  <c r="X229" i="2"/>
  <c r="X193" i="2"/>
  <c r="X301" i="2"/>
  <c r="X175" i="2"/>
  <c r="X17" i="2"/>
  <c r="X235" i="2"/>
  <c r="X243" i="2"/>
  <c r="X86" i="2"/>
  <c r="X197" i="2"/>
  <c r="X92" i="2"/>
  <c r="X64" i="2"/>
  <c r="X273" i="2"/>
  <c r="X169" i="2"/>
  <c r="X25" i="2"/>
  <c r="X122" i="2"/>
  <c r="X31" i="2"/>
  <c r="X265" i="2"/>
  <c r="X198" i="2"/>
  <c r="X289" i="2"/>
  <c r="X199" i="2"/>
  <c r="X128" i="2"/>
  <c r="X207" i="2"/>
  <c r="X213" i="2"/>
  <c r="X262" i="2"/>
  <c r="X279" i="2"/>
  <c r="X297" i="2"/>
  <c r="X206" i="2"/>
  <c r="X168" i="2"/>
  <c r="X174" i="2"/>
  <c r="X14" i="2"/>
  <c r="X259" i="2"/>
  <c r="X148" i="2"/>
  <c r="X81" i="2"/>
  <c r="X246" i="2"/>
  <c r="X155" i="2"/>
  <c r="X39" i="2"/>
  <c r="X100" i="2"/>
  <c r="X18" i="2"/>
  <c r="X307" i="2"/>
  <c r="X255" i="2"/>
  <c r="X190" i="2"/>
  <c r="X194" i="2"/>
  <c r="X178" i="2"/>
  <c r="X221" i="2"/>
  <c r="X176" i="2"/>
  <c r="X116" i="2"/>
  <c r="X149" i="2"/>
  <c r="X30" i="2"/>
  <c r="X144" i="2"/>
  <c r="X97" i="2"/>
  <c r="X90" i="2"/>
  <c r="X130" i="2"/>
  <c r="X162" i="2"/>
  <c r="X84" i="2"/>
  <c r="X189" i="2"/>
  <c r="X288" i="2"/>
  <c r="X80" i="2"/>
  <c r="X191" i="2"/>
  <c r="X280" i="2"/>
  <c r="X210" i="2"/>
  <c r="X112" i="2"/>
  <c r="X227" i="2"/>
  <c r="X249" i="2"/>
  <c r="X143" i="2"/>
  <c r="X23" i="2"/>
  <c r="X182" i="2"/>
  <c r="X263" i="2"/>
  <c r="X63" i="2"/>
  <c r="X275" i="2"/>
  <c r="X76" i="2"/>
  <c r="X114" i="2"/>
  <c r="X33" i="2"/>
  <c r="X281" i="2"/>
  <c r="X101" i="2"/>
  <c r="X117" i="2"/>
  <c r="X142" i="2"/>
  <c r="X270" i="2"/>
  <c r="X271" i="2"/>
  <c r="X164" i="2"/>
  <c r="X15" i="2"/>
  <c r="X115" i="2"/>
  <c r="X70" i="2"/>
  <c r="X145" i="2"/>
  <c r="X55" i="2"/>
  <c r="X202" i="2"/>
  <c r="X192" i="2"/>
  <c r="X161" i="2"/>
  <c r="X52" i="2"/>
  <c r="X59" i="2"/>
  <c r="X37" i="2"/>
  <c r="X170" i="2"/>
  <c r="X258" i="2"/>
  <c r="X65" i="2"/>
  <c r="X48" i="2"/>
  <c r="X67" i="2"/>
  <c r="X16" i="2"/>
  <c r="X127" i="2"/>
  <c r="X98" i="2"/>
  <c r="X21" i="2"/>
  <c r="X298" i="2"/>
  <c r="X240" i="2"/>
  <c r="X102" i="2"/>
  <c r="X124" i="2"/>
  <c r="X85" i="2"/>
  <c r="X50" i="2"/>
  <c r="X248" i="2"/>
  <c r="X290" i="2"/>
  <c r="X62" i="2"/>
  <c r="X296" i="2"/>
  <c r="X94" i="2"/>
  <c r="X195" i="2"/>
  <c r="X66" i="2"/>
  <c r="X218" i="2"/>
  <c r="X230" i="2"/>
  <c r="X163" i="2"/>
  <c r="X69" i="2"/>
  <c r="X200" i="2"/>
  <c r="X252" i="2"/>
  <c r="X35" i="2"/>
  <c r="X104" i="2"/>
  <c r="X79" i="2"/>
  <c r="X267" i="2"/>
  <c r="X153" i="2"/>
  <c r="X236" i="2"/>
  <c r="X217" i="2"/>
  <c r="X20" i="2"/>
  <c r="X177" i="2"/>
  <c r="X282" i="2"/>
  <c r="X19" i="2"/>
  <c r="X220" i="2"/>
  <c r="X268" i="2"/>
  <c r="X32" i="2"/>
  <c r="X34" i="2"/>
  <c r="X205" i="2"/>
  <c r="X231" i="2"/>
  <c r="X179" i="2"/>
  <c r="X183" i="2"/>
  <c r="X264" i="2"/>
  <c r="X53" i="2"/>
  <c r="X73" i="2"/>
  <c r="X211" i="2"/>
  <c r="X29" i="2"/>
  <c r="X216" i="2"/>
  <c r="X120" i="2"/>
  <c r="X154" i="2"/>
  <c r="X215" i="2"/>
  <c r="X284" i="2"/>
  <c r="X110" i="2"/>
  <c r="X250" i="2"/>
  <c r="X266" i="2"/>
  <c r="X26" i="2"/>
  <c r="X93" i="2"/>
  <c r="X42" i="2"/>
  <c r="X302" i="2"/>
  <c r="X72" i="2"/>
  <c r="X157" i="2"/>
  <c r="X147" i="2"/>
  <c r="X293" i="2"/>
  <c r="X134" i="2"/>
  <c r="X204" i="2"/>
  <c r="X222" i="2"/>
  <c r="X105" i="2"/>
  <c r="X99" i="2"/>
  <c r="X299" i="2"/>
  <c r="X214" i="2"/>
  <c r="X173" i="2"/>
  <c r="X287" i="2"/>
  <c r="X138" i="2"/>
  <c r="X158" i="2"/>
  <c r="X283" i="2"/>
  <c r="X150" i="2"/>
  <c r="X88" i="2"/>
  <c r="X140" i="2"/>
  <c r="X118" i="2"/>
  <c r="X295" i="2"/>
  <c r="X241" i="2"/>
  <c r="X47" i="2"/>
  <c r="X136" i="2"/>
  <c r="X51" i="2"/>
  <c r="X261" i="2"/>
  <c r="X188" i="2"/>
  <c r="X89" i="2"/>
  <c r="X186" i="2"/>
  <c r="X234" i="2"/>
  <c r="X254" i="2"/>
  <c r="X41" i="2"/>
  <c r="X83" i="2"/>
  <c r="X156" i="2"/>
  <c r="X244" i="2"/>
  <c r="X78" i="2"/>
  <c r="X247" i="2"/>
  <c r="X245" i="2"/>
  <c r="X106" i="2"/>
  <c r="X119" i="2"/>
  <c r="X257" i="2"/>
  <c r="X306" i="2"/>
  <c r="X135" i="2"/>
  <c r="X269" i="2"/>
  <c r="X276" i="2"/>
  <c r="X209" i="2"/>
  <c r="X286" i="2"/>
  <c r="X10" i="2"/>
  <c r="X285" i="2"/>
  <c r="X28" i="2"/>
  <c r="X228" i="2"/>
  <c r="X123" i="2"/>
  <c r="X167" i="2"/>
  <c r="X60" i="2"/>
  <c r="X12" i="2"/>
  <c r="T308" i="2"/>
  <c r="W308" i="2" s="1"/>
  <c r="X225" i="2"/>
  <c r="X171" i="2"/>
  <c r="X304" i="2"/>
  <c r="X256" i="2"/>
  <c r="X272" i="2"/>
  <c r="X58" i="2"/>
  <c r="X77" i="2"/>
  <c r="F6" i="3" l="1"/>
  <c r="G282" i="3"/>
  <c r="X308" i="2"/>
  <c r="Y8" i="2" s="1"/>
  <c r="Y26" i="2" l="1"/>
  <c r="H23" i="59"/>
  <c r="J6" i="3"/>
  <c r="G8" i="3"/>
  <c r="H8" i="3" s="1"/>
  <c r="J8" i="3" s="1"/>
  <c r="G7" i="45"/>
  <c r="Y13" i="2"/>
  <c r="Y226" i="2"/>
  <c r="Y246" i="2"/>
  <c r="Y45" i="2"/>
  <c r="Y191" i="2"/>
  <c r="Y147" i="2"/>
  <c r="Y64" i="2"/>
  <c r="Y135" i="2"/>
  <c r="Y177" i="2"/>
  <c r="Y41" i="2"/>
  <c r="Y249" i="2"/>
  <c r="Y202" i="2"/>
  <c r="Y136" i="2"/>
  <c r="Y212" i="2"/>
  <c r="Y93" i="2"/>
  <c r="Y16" i="2"/>
  <c r="Y58" i="2"/>
  <c r="Y283" i="2"/>
  <c r="Y257" i="2"/>
  <c r="Y129" i="2"/>
  <c r="Y53" i="2"/>
  <c r="Y78" i="2"/>
  <c r="Y294" i="2"/>
  <c r="Y268" i="2"/>
  <c r="Y103" i="2"/>
  <c r="Y101" i="2"/>
  <c r="Y75" i="2"/>
  <c r="Y139" i="2"/>
  <c r="Y251" i="2"/>
  <c r="Y187" i="2"/>
  <c r="Y281" i="2"/>
  <c r="Y12" i="2"/>
  <c r="Y179" i="2"/>
  <c r="Y259" i="2"/>
  <c r="Y260" i="2"/>
  <c r="Y40" i="2"/>
  <c r="Y30" i="2"/>
  <c r="Y306" i="2"/>
  <c r="Y59" i="2"/>
  <c r="Y87" i="2"/>
  <c r="Y160" i="2"/>
  <c r="Y19" i="2"/>
  <c r="Y108" i="2"/>
  <c r="Y65" i="2"/>
  <c r="Y76" i="2"/>
  <c r="Y271" i="2"/>
  <c r="Y9" i="2"/>
  <c r="Y91" i="2"/>
  <c r="Y174" i="2"/>
  <c r="Y43" i="2"/>
  <c r="Y197" i="2"/>
  <c r="Y210" i="2"/>
  <c r="Y49" i="2"/>
  <c r="Y292" i="2"/>
  <c r="Y270" i="2"/>
  <c r="Y225" i="2"/>
  <c r="Y222" i="2"/>
  <c r="Y48" i="2"/>
  <c r="Y55" i="2"/>
  <c r="Y232" i="2"/>
  <c r="Y286" i="2"/>
  <c r="Y149" i="2"/>
  <c r="Y262" i="2"/>
  <c r="Y166" i="2"/>
  <c r="Y47" i="2"/>
  <c r="Y180" i="2"/>
  <c r="Y304" i="2"/>
  <c r="Y52" i="2"/>
  <c r="Y207" i="2"/>
  <c r="Y224" i="2"/>
  <c r="Y243" i="2"/>
  <c r="Y272" i="2"/>
  <c r="Y159" i="2"/>
  <c r="Y206" i="2"/>
  <c r="Y61" i="2"/>
  <c r="Y242" i="2"/>
  <c r="Y32" i="2"/>
  <c r="Y151" i="2"/>
  <c r="Y155" i="2"/>
  <c r="Y23" i="2"/>
  <c r="Y123" i="2"/>
  <c r="Y185" i="2"/>
  <c r="Y152" i="2"/>
  <c r="Y142" i="2"/>
  <c r="Y288" i="2"/>
  <c r="Y56" i="2"/>
  <c r="Y150" i="2"/>
  <c r="Y265" i="2"/>
  <c r="Y169" i="2"/>
  <c r="Y137" i="2"/>
  <c r="Y25" i="2"/>
  <c r="Y144" i="2"/>
  <c r="Y190" i="2"/>
  <c r="Y57" i="2"/>
  <c r="Y189" i="2"/>
  <c r="Y143" i="2"/>
  <c r="Y164" i="2"/>
  <c r="Y218" i="2"/>
  <c r="Y156" i="2"/>
  <c r="Y220" i="2"/>
  <c r="Y145" i="2"/>
  <c r="Y71" i="2"/>
  <c r="Y203" i="2"/>
  <c r="Y96" i="2"/>
  <c r="Y264" i="2"/>
  <c r="Y140" i="2"/>
  <c r="Y239" i="2"/>
  <c r="Y297" i="2"/>
  <c r="Y60" i="2"/>
  <c r="Y104" i="2"/>
  <c r="Y291" i="2"/>
  <c r="Y110" i="2"/>
  <c r="Y117" i="2"/>
  <c r="Y295" i="2"/>
  <c r="Y201" i="2"/>
  <c r="Y116" i="2"/>
  <c r="Y176" i="2"/>
  <c r="Y36" i="2"/>
  <c r="Y121" i="2"/>
  <c r="Y100" i="2"/>
  <c r="Y307" i="2"/>
  <c r="Y86" i="2"/>
  <c r="Y28" i="2"/>
  <c r="Y146" i="2"/>
  <c r="Y223" i="2"/>
  <c r="Y227" i="2"/>
  <c r="Y10" i="2"/>
  <c r="Y229" i="2"/>
  <c r="Y62" i="2"/>
  <c r="Y148" i="2"/>
  <c r="Y234" i="2"/>
  <c r="Y42" i="2"/>
  <c r="Y69" i="2"/>
  <c r="Y195" i="2"/>
  <c r="Y92" i="2"/>
  <c r="Y11" i="2"/>
  <c r="Y254" i="2"/>
  <c r="Y205" i="2"/>
  <c r="Y213" i="2"/>
  <c r="Y186" i="2"/>
  <c r="Y216" i="2"/>
  <c r="Y253" i="2"/>
  <c r="Y238" i="2"/>
  <c r="Y105" i="2"/>
  <c r="Y35" i="2"/>
  <c r="Y269" i="2"/>
  <c r="Y214" i="2"/>
  <c r="Y263" i="2"/>
  <c r="Y183" i="2"/>
  <c r="Y267" i="2"/>
  <c r="Y193" i="2"/>
  <c r="Y250" i="2"/>
  <c r="Y247" i="2"/>
  <c r="Y194" i="2"/>
  <c r="Y302" i="2"/>
  <c r="Y125" i="2"/>
  <c r="Y98" i="2"/>
  <c r="Y165" i="2"/>
  <c r="Y171" i="2"/>
  <c r="Y153" i="2"/>
  <c r="Y113" i="2"/>
  <c r="Y67" i="2"/>
  <c r="Y106" i="2"/>
  <c r="Y236" i="2"/>
  <c r="Y122" i="2"/>
  <c r="Y209" i="2"/>
  <c r="Y24" i="2"/>
  <c r="Y157" i="2"/>
  <c r="Y167" i="2"/>
  <c r="Y285" i="2"/>
  <c r="Y80" i="2"/>
  <c r="Y63" i="2"/>
  <c r="Y308" i="2"/>
  <c r="Y124" i="2"/>
  <c r="Y119" i="2"/>
  <c r="Y141" i="2"/>
  <c r="Y46" i="2"/>
  <c r="Y66" i="2"/>
  <c r="Y158" i="2"/>
  <c r="Y111" i="2"/>
  <c r="Y131" i="2"/>
  <c r="Y230" i="2"/>
  <c r="Y134" i="2"/>
  <c r="Y31" i="2"/>
  <c r="Y215" i="2"/>
  <c r="Y20" i="2"/>
  <c r="Y305" i="2"/>
  <c r="Y240" i="2"/>
  <c r="Y88" i="2"/>
  <c r="Y128" i="2"/>
  <c r="Y21" i="2"/>
  <c r="Y18" i="2"/>
  <c r="Y130" i="2"/>
  <c r="Y261" i="2"/>
  <c r="Y217" i="2"/>
  <c r="Y289" i="2"/>
  <c r="Y204" i="2"/>
  <c r="Y290" i="2"/>
  <c r="Y126" i="2"/>
  <c r="Y293" i="2"/>
  <c r="Y256" i="2"/>
  <c r="Y198" i="2"/>
  <c r="Y181" i="2"/>
  <c r="Y95" i="2"/>
  <c r="Y90" i="2"/>
  <c r="Y266" i="2"/>
  <c r="Y184" i="2"/>
  <c r="Y154" i="2"/>
  <c r="Y245" i="2"/>
  <c r="Y296" i="2"/>
  <c r="Y107" i="2"/>
  <c r="Y17" i="2"/>
  <c r="Y94" i="2"/>
  <c r="Y51" i="2"/>
  <c r="Y172" i="2"/>
  <c r="Y233" i="2"/>
  <c r="Y208" i="2"/>
  <c r="Y273" i="2"/>
  <c r="Y74" i="2"/>
  <c r="Y284" i="2"/>
  <c r="Y118" i="2"/>
  <c r="Y173" i="2"/>
  <c r="Y237" i="2"/>
  <c r="Y15" i="2"/>
  <c r="Y127" i="2"/>
  <c r="Y38" i="2"/>
  <c r="Y303" i="2"/>
  <c r="Y33" i="2"/>
  <c r="Y228" i="2"/>
  <c r="Y241" i="2"/>
  <c r="Y84" i="2"/>
  <c r="Y115" i="2"/>
  <c r="Y114" i="2"/>
  <c r="Y178" i="2"/>
  <c r="Y244" i="2"/>
  <c r="Y219" i="2"/>
  <c r="Y301" i="2"/>
  <c r="Y68" i="2"/>
  <c r="Y133" i="2"/>
  <c r="Y79" i="2"/>
  <c r="Y162" i="2"/>
  <c r="Y22" i="2"/>
  <c r="Y276" i="2"/>
  <c r="Y211" i="2"/>
  <c r="Y54" i="2"/>
  <c r="Y275" i="2"/>
  <c r="Y199" i="2"/>
  <c r="Y231" i="2"/>
  <c r="Y274" i="2"/>
  <c r="Y34" i="2"/>
  <c r="Y44" i="2"/>
  <c r="Y37" i="2"/>
  <c r="Y70" i="2"/>
  <c r="Y277" i="2"/>
  <c r="Y109" i="2"/>
  <c r="Y196" i="2"/>
  <c r="Y279" i="2"/>
  <c r="Y248" i="2"/>
  <c r="Y138" i="2"/>
  <c r="Y175" i="2"/>
  <c r="Y14" i="2"/>
  <c r="Y89" i="2"/>
  <c r="Y188" i="2"/>
  <c r="Y299" i="2"/>
  <c r="Y221" i="2"/>
  <c r="Y163" i="2"/>
  <c r="Y258" i="2"/>
  <c r="Y161" i="2"/>
  <c r="Y27" i="2"/>
  <c r="Y235" i="2"/>
  <c r="Y29" i="2"/>
  <c r="Y39" i="2"/>
  <c r="Y278" i="2"/>
  <c r="Y83" i="2"/>
  <c r="Y298" i="2"/>
  <c r="Y112" i="2"/>
  <c r="Y168" i="2"/>
  <c r="Y300" i="2"/>
  <c r="Y73" i="2"/>
  <c r="Y192" i="2"/>
  <c r="Y82" i="2"/>
  <c r="Y287" i="2"/>
  <c r="Y81" i="2"/>
  <c r="Y280" i="2"/>
  <c r="Y255" i="2"/>
  <c r="Y72" i="2"/>
  <c r="Y132" i="2"/>
  <c r="Y85" i="2"/>
  <c r="Y99" i="2"/>
  <c r="Y77" i="2"/>
  <c r="Y252" i="2"/>
  <c r="Y120" i="2"/>
  <c r="Y182" i="2"/>
  <c r="Y282" i="2"/>
  <c r="Y170" i="2"/>
  <c r="Y200" i="2"/>
  <c r="Y97" i="2"/>
  <c r="Y50" i="2"/>
  <c r="Y102" i="2"/>
  <c r="G285" i="3"/>
  <c r="H285" i="3" s="1"/>
  <c r="J285" i="3" s="1"/>
  <c r="G222" i="3"/>
  <c r="H222" i="3" s="1"/>
  <c r="J222" i="3" s="1"/>
  <c r="G25" i="3"/>
  <c r="H25" i="3" s="1"/>
  <c r="J25" i="3" s="1"/>
  <c r="G72" i="3"/>
  <c r="H72" i="3" s="1"/>
  <c r="J72" i="3" s="1"/>
  <c r="G262" i="3"/>
  <c r="H262" i="3" s="1"/>
  <c r="J262" i="3" s="1"/>
  <c r="G102" i="3"/>
  <c r="H102" i="3" s="1"/>
  <c r="J102" i="3" s="1"/>
  <c r="G45" i="3"/>
  <c r="H45" i="3" s="1"/>
  <c r="J45" i="3" s="1"/>
  <c r="G184" i="3"/>
  <c r="H184" i="3" s="1"/>
  <c r="J184" i="3" s="1"/>
  <c r="G279" i="3"/>
  <c r="H279" i="3" s="1"/>
  <c r="J279" i="3" s="1"/>
  <c r="G181" i="3"/>
  <c r="H181" i="3" s="1"/>
  <c r="J181" i="3" s="1"/>
  <c r="G242" i="3"/>
  <c r="H242" i="3" s="1"/>
  <c r="J242" i="3" s="1"/>
  <c r="G23" i="3"/>
  <c r="H23" i="3" s="1"/>
  <c r="J23" i="3" s="1"/>
  <c r="G118" i="3"/>
  <c r="H118" i="3" s="1"/>
  <c r="J118" i="3" s="1"/>
  <c r="G229" i="3"/>
  <c r="H229" i="3" s="1"/>
  <c r="J229" i="3" s="1"/>
  <c r="G121" i="3"/>
  <c r="H121" i="3" s="1"/>
  <c r="J121" i="3" s="1"/>
  <c r="G162" i="3"/>
  <c r="H162" i="3" s="1"/>
  <c r="J162" i="3" s="1"/>
  <c r="G209" i="3"/>
  <c r="H209" i="3" s="1"/>
  <c r="J209" i="3" s="1"/>
  <c r="G256" i="3"/>
  <c r="H256" i="3" s="1"/>
  <c r="J256" i="3" s="1"/>
  <c r="G255" i="3"/>
  <c r="H255" i="3" s="1"/>
  <c r="J255" i="3" s="1"/>
  <c r="G220" i="3"/>
  <c r="H220" i="3" s="1"/>
  <c r="J220" i="3" s="1"/>
  <c r="G187" i="3"/>
  <c r="H187" i="3" s="1"/>
  <c r="J187" i="3" s="1"/>
  <c r="G175" i="3"/>
  <c r="H175" i="3" s="1"/>
  <c r="J175" i="3" s="1"/>
  <c r="G47" i="3"/>
  <c r="H47" i="3" s="1"/>
  <c r="J47" i="3" s="1"/>
  <c r="G132" i="3"/>
  <c r="H132" i="3" s="1"/>
  <c r="J132" i="3" s="1"/>
  <c r="G303" i="3"/>
  <c r="H303" i="3" s="1"/>
  <c r="J303" i="3" s="1"/>
  <c r="G29" i="3"/>
  <c r="H29" i="3" s="1"/>
  <c r="J29" i="3" s="1"/>
  <c r="G228" i="3"/>
  <c r="H228" i="3" s="1"/>
  <c r="J228" i="3" s="1"/>
  <c r="G129" i="3"/>
  <c r="H129" i="3" s="1"/>
  <c r="J129" i="3" s="1"/>
  <c r="G176" i="3"/>
  <c r="H176" i="3" s="1"/>
  <c r="J176" i="3" s="1"/>
  <c r="G183" i="3"/>
  <c r="H183" i="3" s="1"/>
  <c r="J183" i="3" s="1"/>
  <c r="G212" i="3"/>
  <c r="H212" i="3" s="1"/>
  <c r="J212" i="3" s="1"/>
  <c r="G284" i="3"/>
  <c r="H284" i="3" s="1"/>
  <c r="J284" i="3" s="1"/>
  <c r="G251" i="3"/>
  <c r="H251" i="3" s="1"/>
  <c r="J251" i="3" s="1"/>
  <c r="G70" i="3"/>
  <c r="H70" i="3" s="1"/>
  <c r="J70" i="3" s="1"/>
  <c r="G223" i="3"/>
  <c r="H223" i="3" s="1"/>
  <c r="J223" i="3" s="1"/>
  <c r="G53" i="3"/>
  <c r="H53" i="3" s="1"/>
  <c r="J53" i="3" s="1"/>
  <c r="G104" i="3"/>
  <c r="H104" i="3" s="1"/>
  <c r="J104" i="3" s="1"/>
  <c r="G145" i="3"/>
  <c r="H145" i="3" s="1"/>
  <c r="J145" i="3" s="1"/>
  <c r="G265" i="3"/>
  <c r="H265" i="3" s="1"/>
  <c r="J265" i="3" s="1"/>
  <c r="G238" i="3"/>
  <c r="H238" i="3" s="1"/>
  <c r="J238" i="3" s="1"/>
  <c r="G35" i="3"/>
  <c r="H35" i="3" s="1"/>
  <c r="J35" i="3" s="1"/>
  <c r="G58" i="3"/>
  <c r="H58" i="3" s="1"/>
  <c r="J58" i="3" s="1"/>
  <c r="G33" i="3"/>
  <c r="H33" i="3" s="1"/>
  <c r="J33" i="3" s="1"/>
  <c r="G80" i="3"/>
  <c r="H80" i="3" s="1"/>
  <c r="J80" i="3" s="1"/>
  <c r="G15" i="3"/>
  <c r="H15" i="3" s="1"/>
  <c r="J15" i="3" s="1"/>
  <c r="G30" i="3"/>
  <c r="H30" i="3" s="1"/>
  <c r="J30" i="3" s="1"/>
  <c r="G82" i="3"/>
  <c r="H82" i="3" s="1"/>
  <c r="J82" i="3" s="1"/>
  <c r="G106" i="3"/>
  <c r="H106" i="3" s="1"/>
  <c r="J106" i="3" s="1"/>
  <c r="G83" i="3"/>
  <c r="H83" i="3" s="1"/>
  <c r="J83" i="3" s="1"/>
  <c r="G192" i="3"/>
  <c r="H192" i="3" s="1"/>
  <c r="J192" i="3" s="1"/>
  <c r="G260" i="3"/>
  <c r="H260" i="3" s="1"/>
  <c r="J260" i="3" s="1"/>
  <c r="G19" i="3"/>
  <c r="H19" i="3" s="1"/>
  <c r="J19" i="3" s="1"/>
  <c r="G50" i="3"/>
  <c r="H50" i="3" s="1"/>
  <c r="J50" i="3" s="1"/>
  <c r="G89" i="3"/>
  <c r="H89" i="3" s="1"/>
  <c r="J89" i="3" s="1"/>
  <c r="G136" i="3"/>
  <c r="H136" i="3" s="1"/>
  <c r="J136" i="3" s="1"/>
  <c r="G71" i="3"/>
  <c r="H71" i="3" s="1"/>
  <c r="J71" i="3" s="1"/>
  <c r="G36" i="3"/>
  <c r="H36" i="3" s="1"/>
  <c r="J36" i="3" s="1"/>
  <c r="G154" i="3"/>
  <c r="H154" i="3" s="1"/>
  <c r="J154" i="3" s="1"/>
  <c r="G14" i="3"/>
  <c r="H14" i="3" s="1"/>
  <c r="J14" i="3" s="1"/>
  <c r="G56" i="3"/>
  <c r="H56" i="3" s="1"/>
  <c r="J56" i="3" s="1"/>
  <c r="G22" i="3"/>
  <c r="H22" i="3" s="1"/>
  <c r="J22" i="3" s="1"/>
  <c r="G153" i="3"/>
  <c r="H153" i="3" s="1"/>
  <c r="J153" i="3" s="1"/>
  <c r="G200" i="3"/>
  <c r="H200" i="3" s="1"/>
  <c r="J200" i="3" s="1"/>
  <c r="G135" i="3"/>
  <c r="H135" i="3" s="1"/>
  <c r="J135" i="3" s="1"/>
  <c r="G100" i="3"/>
  <c r="H100" i="3" s="1"/>
  <c r="J100" i="3" s="1"/>
  <c r="G126" i="3"/>
  <c r="H126" i="3" s="1"/>
  <c r="J126" i="3" s="1"/>
  <c r="G166" i="3"/>
  <c r="H166" i="3" s="1"/>
  <c r="J166" i="3" s="1"/>
  <c r="G232" i="3"/>
  <c r="H232" i="3" s="1"/>
  <c r="J232" i="3" s="1"/>
  <c r="G114" i="3"/>
  <c r="H114" i="3" s="1"/>
  <c r="J114" i="3" s="1"/>
  <c r="G127" i="3"/>
  <c r="H127" i="3" s="1"/>
  <c r="J127" i="3" s="1"/>
  <c r="G92" i="3"/>
  <c r="H92" i="3" s="1"/>
  <c r="J92" i="3" s="1"/>
  <c r="G59" i="3"/>
  <c r="H59" i="3" s="1"/>
  <c r="J59" i="3" s="1"/>
  <c r="G236" i="3"/>
  <c r="H236" i="3" s="1"/>
  <c r="J236" i="3" s="1"/>
  <c r="G108" i="3"/>
  <c r="H108" i="3" s="1"/>
  <c r="J108" i="3" s="1"/>
  <c r="G203" i="3"/>
  <c r="H203" i="3" s="1"/>
  <c r="J203" i="3" s="1"/>
  <c r="G38" i="3"/>
  <c r="H38" i="3" s="1"/>
  <c r="J38" i="3" s="1"/>
  <c r="G191" i="3"/>
  <c r="H191" i="3" s="1"/>
  <c r="J191" i="3" s="1"/>
  <c r="G174" i="3"/>
  <c r="H174" i="3" s="1"/>
  <c r="J174" i="3" s="1"/>
  <c r="G299" i="3"/>
  <c r="H299" i="3" s="1"/>
  <c r="J299" i="3" s="1"/>
  <c r="G280" i="3"/>
  <c r="H280" i="3" s="1"/>
  <c r="J280" i="3" s="1"/>
  <c r="G77" i="3"/>
  <c r="H77" i="3" s="1"/>
  <c r="J77" i="3" s="1"/>
  <c r="G49" i="3"/>
  <c r="H49" i="3" s="1"/>
  <c r="J49" i="3" s="1"/>
  <c r="G271" i="3"/>
  <c r="H271" i="3" s="1"/>
  <c r="J271" i="3" s="1"/>
  <c r="G274" i="3"/>
  <c r="H274" i="3" s="1"/>
  <c r="J274" i="3" s="1"/>
  <c r="G20" i="3"/>
  <c r="H20" i="3" s="1"/>
  <c r="J20" i="3" s="1"/>
  <c r="G201" i="3"/>
  <c r="H201" i="3" s="1"/>
  <c r="J201" i="3" s="1"/>
  <c r="G60" i="3"/>
  <c r="H60" i="3" s="1"/>
  <c r="J60" i="3" s="1"/>
  <c r="G99" i="3"/>
  <c r="H99" i="3" s="1"/>
  <c r="J99" i="3" s="1"/>
  <c r="G122" i="3"/>
  <c r="H122" i="3" s="1"/>
  <c r="J122" i="3" s="1"/>
  <c r="G97" i="3"/>
  <c r="H97" i="3" s="1"/>
  <c r="J97" i="3" s="1"/>
  <c r="G144" i="3"/>
  <c r="H144" i="3" s="1"/>
  <c r="J144" i="3" s="1"/>
  <c r="G79" i="3"/>
  <c r="H79" i="3" s="1"/>
  <c r="J79" i="3" s="1"/>
  <c r="G139" i="3"/>
  <c r="H139" i="3" s="1"/>
  <c r="J139" i="3" s="1"/>
  <c r="G234" i="3"/>
  <c r="H234" i="3" s="1"/>
  <c r="J234" i="3" s="1"/>
  <c r="H282" i="3"/>
  <c r="J282" i="3" s="1"/>
  <c r="G227" i="3"/>
  <c r="H227" i="3" s="1"/>
  <c r="J227" i="3" s="1"/>
  <c r="G142" i="3"/>
  <c r="H142" i="3" s="1"/>
  <c r="J142" i="3" s="1"/>
  <c r="G120" i="3"/>
  <c r="H120" i="3" s="1"/>
  <c r="J120" i="3" s="1"/>
  <c r="G300" i="3"/>
  <c r="H300" i="3" s="1"/>
  <c r="J300" i="3" s="1"/>
  <c r="G193" i="3"/>
  <c r="H193" i="3" s="1"/>
  <c r="J193" i="3" s="1"/>
  <c r="G243" i="3"/>
  <c r="H243" i="3" s="1"/>
  <c r="J243" i="3" s="1"/>
  <c r="G237" i="3"/>
  <c r="H237" i="3" s="1"/>
  <c r="J237" i="3" s="1"/>
  <c r="G133" i="3"/>
  <c r="H133" i="3" s="1"/>
  <c r="J133" i="3" s="1"/>
  <c r="G254" i="3"/>
  <c r="H254" i="3" s="1"/>
  <c r="J254" i="3" s="1"/>
  <c r="G268" i="3"/>
  <c r="H268" i="3" s="1"/>
  <c r="J268" i="3" s="1"/>
  <c r="G233" i="3"/>
  <c r="H233" i="3" s="1"/>
  <c r="J233" i="3" s="1"/>
  <c r="G241" i="3"/>
  <c r="H241" i="3" s="1"/>
  <c r="J241" i="3" s="1"/>
  <c r="G293" i="3"/>
  <c r="H293" i="3" s="1"/>
  <c r="J293" i="3" s="1"/>
  <c r="G213" i="3"/>
  <c r="H213" i="3" s="1"/>
  <c r="J213" i="3" s="1"/>
  <c r="G128" i="3"/>
  <c r="H128" i="3" s="1"/>
  <c r="J128" i="3" s="1"/>
  <c r="G244" i="3"/>
  <c r="H244" i="3" s="1"/>
  <c r="J244" i="3" s="1"/>
  <c r="G283" i="3"/>
  <c r="H283" i="3" s="1"/>
  <c r="J283" i="3" s="1"/>
  <c r="G27" i="3"/>
  <c r="H27" i="3" s="1"/>
  <c r="J27" i="3" s="1"/>
  <c r="G296" i="3"/>
  <c r="H296" i="3" s="1"/>
  <c r="J296" i="3" s="1"/>
  <c r="G147" i="3"/>
  <c r="H147" i="3" s="1"/>
  <c r="J147" i="3" s="1"/>
  <c r="G84" i="3"/>
  <c r="H84" i="3" s="1"/>
  <c r="J84" i="3" s="1"/>
  <c r="G91" i="3"/>
  <c r="H91" i="3" s="1"/>
  <c r="J91" i="3" s="1"/>
  <c r="G275" i="3"/>
  <c r="H275" i="3" s="1"/>
  <c r="J275" i="3" s="1"/>
  <c r="G306" i="3"/>
  <c r="H306" i="3" s="1"/>
  <c r="J306" i="3" s="1"/>
  <c r="G221" i="3"/>
  <c r="H221" i="3" s="1"/>
  <c r="J221" i="3" s="1"/>
  <c r="G206" i="3"/>
  <c r="H206" i="3" s="1"/>
  <c r="J206" i="3" s="1"/>
  <c r="G205" i="3"/>
  <c r="H205" i="3" s="1"/>
  <c r="J205" i="3" s="1"/>
  <c r="G292" i="3"/>
  <c r="H292" i="3" s="1"/>
  <c r="J292" i="3" s="1"/>
  <c r="G26" i="3"/>
  <c r="H26" i="3" s="1"/>
  <c r="J26" i="3" s="1"/>
  <c r="G137" i="3"/>
  <c r="H137" i="3" s="1"/>
  <c r="J137" i="3" s="1"/>
  <c r="G185" i="3"/>
  <c r="H185" i="3" s="1"/>
  <c r="J185" i="3" s="1"/>
  <c r="G188" i="3"/>
  <c r="H188" i="3" s="1"/>
  <c r="J188" i="3" s="1"/>
  <c r="G55" i="3"/>
  <c r="H55" i="3" s="1"/>
  <c r="J55" i="3" s="1"/>
  <c r="G31" i="3"/>
  <c r="H31" i="3" s="1"/>
  <c r="J31" i="3" s="1"/>
  <c r="G226" i="3"/>
  <c r="H226" i="3" s="1"/>
  <c r="J226" i="3" s="1"/>
  <c r="G273" i="3"/>
  <c r="H273" i="3" s="1"/>
  <c r="J273" i="3" s="1"/>
  <c r="G85" i="3"/>
  <c r="H85" i="3" s="1"/>
  <c r="J85" i="3" s="1"/>
  <c r="G141" i="3"/>
  <c r="H141" i="3" s="1"/>
  <c r="J141" i="3" s="1"/>
  <c r="G16" i="3"/>
  <c r="H16" i="3" s="1"/>
  <c r="J16" i="3" s="1"/>
  <c r="G245" i="3"/>
  <c r="H245" i="3" s="1"/>
  <c r="J245" i="3" s="1"/>
  <c r="G210" i="3"/>
  <c r="H210" i="3" s="1"/>
  <c r="J210" i="3" s="1"/>
  <c r="G13" i="3"/>
  <c r="H13" i="3" s="1"/>
  <c r="J13" i="3" s="1"/>
  <c r="G54" i="3"/>
  <c r="H54" i="3" s="1"/>
  <c r="J54" i="3" s="1"/>
  <c r="G295" i="3"/>
  <c r="H295" i="3" s="1"/>
  <c r="J295" i="3" s="1"/>
  <c r="G281" i="3"/>
  <c r="H281" i="3" s="1"/>
  <c r="J281" i="3" s="1"/>
  <c r="G78" i="3"/>
  <c r="H78" i="3" s="1"/>
  <c r="J78" i="3" s="1"/>
  <c r="G103" i="3"/>
  <c r="H103" i="3" s="1"/>
  <c r="J103" i="3" s="1"/>
  <c r="G140" i="3"/>
  <c r="H140" i="3" s="1"/>
  <c r="J140" i="3" s="1"/>
  <c r="G171" i="3"/>
  <c r="H171" i="3" s="1"/>
  <c r="J171" i="3" s="1"/>
  <c r="G130" i="3"/>
  <c r="H130" i="3" s="1"/>
  <c r="J130" i="3" s="1"/>
  <c r="G105" i="3"/>
  <c r="H105" i="3" s="1"/>
  <c r="J105" i="3" s="1"/>
  <c r="G152" i="3"/>
  <c r="H152" i="3" s="1"/>
  <c r="J152" i="3" s="1"/>
  <c r="G168" i="3"/>
  <c r="H168" i="3" s="1"/>
  <c r="J168" i="3" s="1"/>
  <c r="G239" i="3"/>
  <c r="H239" i="3" s="1"/>
  <c r="J239" i="3" s="1"/>
  <c r="G287" i="3"/>
  <c r="H287" i="3" s="1"/>
  <c r="J287" i="3" s="1"/>
  <c r="G252" i="3"/>
  <c r="H252" i="3" s="1"/>
  <c r="J252" i="3" s="1"/>
  <c r="G117" i="3"/>
  <c r="H117" i="3" s="1"/>
  <c r="J117" i="3" s="1"/>
  <c r="G151" i="3"/>
  <c r="H151" i="3" s="1"/>
  <c r="J151" i="3" s="1"/>
  <c r="G124" i="3"/>
  <c r="H124" i="3" s="1"/>
  <c r="J124" i="3" s="1"/>
  <c r="G163" i="3"/>
  <c r="H163" i="3" s="1"/>
  <c r="J163" i="3" s="1"/>
  <c r="G186" i="3"/>
  <c r="H186" i="3" s="1"/>
  <c r="J186" i="3" s="1"/>
  <c r="G161" i="3"/>
  <c r="H161" i="3" s="1"/>
  <c r="J161" i="3" s="1"/>
  <c r="G208" i="3"/>
  <c r="H208" i="3" s="1"/>
  <c r="J208" i="3" s="1"/>
  <c r="G143" i="3"/>
  <c r="H143" i="3" s="1"/>
  <c r="J143" i="3" s="1"/>
  <c r="G61" i="3"/>
  <c r="H61" i="3" s="1"/>
  <c r="J61" i="3" s="1"/>
  <c r="G11" i="3"/>
  <c r="H11" i="3" s="1"/>
  <c r="J11" i="3" s="1"/>
  <c r="G67" i="3"/>
  <c r="H67" i="3" s="1"/>
  <c r="J67" i="3" s="1"/>
  <c r="G17" i="3"/>
  <c r="H17" i="3" s="1"/>
  <c r="J17" i="3" s="1"/>
  <c r="G250" i="3"/>
  <c r="H250" i="3" s="1"/>
  <c r="J250" i="3" s="1"/>
  <c r="G225" i="3"/>
  <c r="H225" i="3" s="1"/>
  <c r="J225" i="3" s="1"/>
  <c r="G272" i="3"/>
  <c r="H272" i="3" s="1"/>
  <c r="J272" i="3" s="1"/>
  <c r="G207" i="3"/>
  <c r="H207" i="3" s="1"/>
  <c r="J207" i="3" s="1"/>
  <c r="G68" i="3"/>
  <c r="H68" i="3" s="1"/>
  <c r="J68" i="3" s="1"/>
  <c r="G195" i="3"/>
  <c r="H195" i="3" s="1"/>
  <c r="J195" i="3" s="1"/>
  <c r="G219" i="3"/>
  <c r="H219" i="3" s="1"/>
  <c r="J219" i="3" s="1"/>
  <c r="G81" i="3"/>
  <c r="H81" i="3" s="1"/>
  <c r="J81" i="3" s="1"/>
  <c r="G264" i="3"/>
  <c r="H264" i="3" s="1"/>
  <c r="J264" i="3" s="1"/>
  <c r="G199" i="3"/>
  <c r="H199" i="3" s="1"/>
  <c r="J199" i="3" s="1"/>
  <c r="G164" i="3"/>
  <c r="H164" i="3" s="1"/>
  <c r="J164" i="3" s="1"/>
  <c r="G113" i="3"/>
  <c r="H113" i="3" s="1"/>
  <c r="J113" i="3" s="1"/>
  <c r="G44" i="3"/>
  <c r="H44" i="3" s="1"/>
  <c r="J44" i="3" s="1"/>
  <c r="G196" i="3"/>
  <c r="H196" i="3" s="1"/>
  <c r="J196" i="3" s="1"/>
  <c r="G215" i="3"/>
  <c r="H215" i="3" s="1"/>
  <c r="J215" i="3" s="1"/>
  <c r="G258" i="3"/>
  <c r="H258" i="3" s="1"/>
  <c r="J258" i="3" s="1"/>
  <c r="G248" i="3"/>
  <c r="H248" i="3" s="1"/>
  <c r="J248" i="3" s="1"/>
  <c r="G297" i="3"/>
  <c r="H297" i="3" s="1"/>
  <c r="J297" i="3" s="1"/>
  <c r="G110" i="3"/>
  <c r="H110" i="3" s="1"/>
  <c r="J110" i="3" s="1"/>
  <c r="G165" i="3"/>
  <c r="H165" i="3" s="1"/>
  <c r="J165" i="3" s="1"/>
  <c r="G189" i="3"/>
  <c r="H189" i="3" s="1"/>
  <c r="J189" i="3" s="1"/>
  <c r="G125" i="3"/>
  <c r="H125" i="3" s="1"/>
  <c r="J125" i="3" s="1"/>
  <c r="G198" i="3"/>
  <c r="H198" i="3" s="1"/>
  <c r="J198" i="3" s="1"/>
  <c r="G167" i="3"/>
  <c r="H167" i="3" s="1"/>
  <c r="J167" i="3" s="1"/>
  <c r="G204" i="3"/>
  <c r="H204" i="3" s="1"/>
  <c r="J204" i="3" s="1"/>
  <c r="G235" i="3"/>
  <c r="H235" i="3" s="1"/>
  <c r="J235" i="3" s="1"/>
  <c r="G194" i="3"/>
  <c r="H194" i="3" s="1"/>
  <c r="J194" i="3" s="1"/>
  <c r="G169" i="3"/>
  <c r="H169" i="3" s="1"/>
  <c r="J169" i="3" s="1"/>
  <c r="G216" i="3"/>
  <c r="H216" i="3" s="1"/>
  <c r="J216" i="3" s="1"/>
  <c r="G253" i="3"/>
  <c r="H253" i="3" s="1"/>
  <c r="J253" i="3" s="1"/>
  <c r="G40" i="3"/>
  <c r="H40" i="3" s="1"/>
  <c r="J40" i="3" s="1"/>
  <c r="G96" i="3"/>
  <c r="H96" i="3" s="1"/>
  <c r="J96" i="3" s="1"/>
  <c r="G178" i="3"/>
  <c r="H178" i="3" s="1"/>
  <c r="J178" i="3" s="1"/>
  <c r="G51" i="3"/>
  <c r="H51" i="3" s="1"/>
  <c r="J51" i="3" s="1"/>
  <c r="G9" i="3"/>
  <c r="H9" i="3" s="1"/>
  <c r="J9" i="3" s="1"/>
  <c r="G134" i="3"/>
  <c r="H134" i="3" s="1"/>
  <c r="J134" i="3" s="1"/>
  <c r="G101" i="3"/>
  <c r="H101" i="3" s="1"/>
  <c r="J101" i="3" s="1"/>
  <c r="G289" i="3"/>
  <c r="H289" i="3" s="1"/>
  <c r="J289" i="3" s="1"/>
  <c r="G64" i="3"/>
  <c r="H64" i="3" s="1"/>
  <c r="J64" i="3" s="1"/>
  <c r="G73" i="3"/>
  <c r="H73" i="3" s="1"/>
  <c r="J73" i="3" s="1"/>
  <c r="G21" i="3"/>
  <c r="H21" i="3" s="1"/>
  <c r="J21" i="3" s="1"/>
  <c r="G156" i="3"/>
  <c r="H156" i="3" s="1"/>
  <c r="J156" i="3" s="1"/>
  <c r="G150" i="3"/>
  <c r="H150" i="3" s="1"/>
  <c r="J150" i="3" s="1"/>
  <c r="G86" i="3"/>
  <c r="H86" i="3" s="1"/>
  <c r="J86" i="3" s="1"/>
  <c r="G12" i="3"/>
  <c r="H12" i="3" s="1"/>
  <c r="J12" i="3" s="1"/>
  <c r="G43" i="3"/>
  <c r="H43" i="3" s="1"/>
  <c r="J43" i="3" s="1"/>
  <c r="G302" i="3"/>
  <c r="H302" i="3" s="1"/>
  <c r="J302" i="3" s="1"/>
  <c r="G24" i="3"/>
  <c r="H24" i="3" s="1"/>
  <c r="J24" i="3" s="1"/>
  <c r="G277" i="3"/>
  <c r="H277" i="3" s="1"/>
  <c r="J277" i="3" s="1"/>
  <c r="G116" i="3"/>
  <c r="H116" i="3" s="1"/>
  <c r="J116" i="3" s="1"/>
  <c r="G149" i="3"/>
  <c r="H149" i="3" s="1"/>
  <c r="J149" i="3" s="1"/>
  <c r="G94" i="3"/>
  <c r="H94" i="3" s="1"/>
  <c r="J94" i="3" s="1"/>
  <c r="G270" i="3"/>
  <c r="H270" i="3" s="1"/>
  <c r="J270" i="3" s="1"/>
  <c r="G66" i="3"/>
  <c r="H66" i="3" s="1"/>
  <c r="J66" i="3" s="1"/>
  <c r="G41" i="3"/>
  <c r="H41" i="3" s="1"/>
  <c r="J41" i="3" s="1"/>
  <c r="G88" i="3"/>
  <c r="H88" i="3" s="1"/>
  <c r="J88" i="3" s="1"/>
  <c r="G182" i="3"/>
  <c r="H182" i="3" s="1"/>
  <c r="J182" i="3" s="1"/>
  <c r="G87" i="3"/>
  <c r="H87" i="3" s="1"/>
  <c r="J87" i="3" s="1"/>
  <c r="G111" i="3"/>
  <c r="H111" i="3" s="1"/>
  <c r="J111" i="3" s="1"/>
  <c r="G34" i="3"/>
  <c r="H34" i="3" s="1"/>
  <c r="J34" i="3" s="1"/>
  <c r="G261" i="3"/>
  <c r="H261" i="3" s="1"/>
  <c r="J261" i="3" s="1"/>
  <c r="G240" i="3"/>
  <c r="H240" i="3" s="1"/>
  <c r="J240" i="3" s="1"/>
  <c r="G247" i="3"/>
  <c r="H247" i="3" s="1"/>
  <c r="J247" i="3" s="1"/>
  <c r="G276" i="3"/>
  <c r="H276" i="3" s="1"/>
  <c r="J276" i="3" s="1"/>
  <c r="G202" i="3"/>
  <c r="H202" i="3" s="1"/>
  <c r="J202" i="3" s="1"/>
  <c r="G218" i="3"/>
  <c r="H218" i="3" s="1"/>
  <c r="J218" i="3" s="1"/>
  <c r="G75" i="3"/>
  <c r="H75" i="3" s="1"/>
  <c r="J75" i="3" s="1"/>
  <c r="G231" i="3"/>
  <c r="H231" i="3" s="1"/>
  <c r="J231" i="3" s="1"/>
  <c r="G224" i="3"/>
  <c r="H224" i="3" s="1"/>
  <c r="J224" i="3" s="1"/>
  <c r="G267" i="3"/>
  <c r="H267" i="3" s="1"/>
  <c r="J267" i="3" s="1"/>
  <c r="G190" i="3"/>
  <c r="H190" i="3" s="1"/>
  <c r="J190" i="3" s="1"/>
  <c r="G28" i="3"/>
  <c r="H28" i="3" s="1"/>
  <c r="J28" i="3" s="1"/>
  <c r="G257" i="3"/>
  <c r="H257" i="3" s="1"/>
  <c r="J257" i="3" s="1"/>
  <c r="G304" i="3"/>
  <c r="H304" i="3" s="1"/>
  <c r="J304" i="3" s="1"/>
  <c r="G93" i="3"/>
  <c r="H93" i="3" s="1"/>
  <c r="J93" i="3" s="1"/>
  <c r="G157" i="3"/>
  <c r="H157" i="3" s="1"/>
  <c r="J157" i="3" s="1"/>
  <c r="G307" i="3"/>
  <c r="H307" i="3" s="1"/>
  <c r="J307" i="3" s="1"/>
  <c r="G266" i="3"/>
  <c r="H266" i="3" s="1"/>
  <c r="J266" i="3" s="1"/>
  <c r="G131" i="3"/>
  <c r="H131" i="3" s="1"/>
  <c r="J131" i="3" s="1"/>
  <c r="G294" i="3"/>
  <c r="H294" i="3" s="1"/>
  <c r="J294" i="3" s="1"/>
  <c r="G90" i="3"/>
  <c r="H90" i="3" s="1"/>
  <c r="J90" i="3" s="1"/>
  <c r="G259" i="3"/>
  <c r="H259" i="3" s="1"/>
  <c r="J259" i="3" s="1"/>
  <c r="G98" i="3"/>
  <c r="H98" i="3" s="1"/>
  <c r="J98" i="3" s="1"/>
  <c r="G123" i="3"/>
  <c r="H123" i="3" s="1"/>
  <c r="J123" i="3" s="1"/>
  <c r="G211" i="3"/>
  <c r="H211" i="3" s="1"/>
  <c r="J211" i="3" s="1"/>
  <c r="G269" i="3"/>
  <c r="H269" i="3" s="1"/>
  <c r="J269" i="3" s="1"/>
  <c r="G65" i="3"/>
  <c r="H65" i="3" s="1"/>
  <c r="J65" i="3" s="1"/>
  <c r="G112" i="3"/>
  <c r="H112" i="3" s="1"/>
  <c r="J112" i="3" s="1"/>
  <c r="G119" i="3"/>
  <c r="H119" i="3" s="1"/>
  <c r="J119" i="3" s="1"/>
  <c r="G148" i="3"/>
  <c r="H148" i="3" s="1"/>
  <c r="J148" i="3" s="1"/>
  <c r="G115" i="3"/>
  <c r="H115" i="3" s="1"/>
  <c r="J115" i="3" s="1"/>
  <c r="G74" i="3"/>
  <c r="H74" i="3" s="1"/>
  <c r="J74" i="3" s="1"/>
  <c r="G18" i="3"/>
  <c r="H18" i="3" s="1"/>
  <c r="J18" i="3" s="1"/>
  <c r="G305" i="3"/>
  <c r="H305" i="3" s="1"/>
  <c r="J305" i="3" s="1"/>
  <c r="G159" i="3"/>
  <c r="H159" i="3" s="1"/>
  <c r="J159" i="3" s="1"/>
  <c r="G146" i="3"/>
  <c r="H146" i="3" s="1"/>
  <c r="J146" i="3" s="1"/>
  <c r="G217" i="3"/>
  <c r="H217" i="3" s="1"/>
  <c r="J217" i="3" s="1"/>
  <c r="G263" i="3"/>
  <c r="H263" i="3" s="1"/>
  <c r="J263" i="3" s="1"/>
  <c r="G172" i="3"/>
  <c r="H172" i="3" s="1"/>
  <c r="J172" i="3" s="1"/>
  <c r="G39" i="3"/>
  <c r="H39" i="3" s="1"/>
  <c r="J39" i="3" s="1"/>
  <c r="G76" i="3"/>
  <c r="H76" i="3" s="1"/>
  <c r="J76" i="3" s="1"/>
  <c r="G107" i="3"/>
  <c r="H107" i="3" s="1"/>
  <c r="J107" i="3" s="1"/>
  <c r="G179" i="3"/>
  <c r="H179" i="3" s="1"/>
  <c r="J179" i="3" s="1"/>
  <c r="G138" i="3"/>
  <c r="H138" i="3" s="1"/>
  <c r="J138" i="3" s="1"/>
  <c r="G170" i="3"/>
  <c r="H170" i="3" s="1"/>
  <c r="J170" i="3" s="1"/>
  <c r="G42" i="3"/>
  <c r="H42" i="3" s="1"/>
  <c r="J42" i="3" s="1"/>
  <c r="G177" i="3"/>
  <c r="H177" i="3" s="1"/>
  <c r="J177" i="3" s="1"/>
  <c r="G298" i="3"/>
  <c r="H298" i="3" s="1"/>
  <c r="J298" i="3" s="1"/>
  <c r="G291" i="3"/>
  <c r="H291" i="3" s="1"/>
  <c r="J291" i="3" s="1"/>
  <c r="G10" i="3"/>
  <c r="H10" i="3" s="1"/>
  <c r="J10" i="3" s="1"/>
  <c r="G290" i="3"/>
  <c r="H290" i="3" s="1"/>
  <c r="J290" i="3" s="1"/>
  <c r="G173" i="3"/>
  <c r="H173" i="3" s="1"/>
  <c r="J173" i="3" s="1"/>
  <c r="G158" i="3"/>
  <c r="H158" i="3" s="1"/>
  <c r="J158" i="3" s="1"/>
  <c r="G286" i="3"/>
  <c r="H286" i="3" s="1"/>
  <c r="J286" i="3" s="1"/>
  <c r="G197" i="3"/>
  <c r="H197" i="3" s="1"/>
  <c r="J197" i="3" s="1"/>
  <c r="G37" i="3"/>
  <c r="H37" i="3" s="1"/>
  <c r="J37" i="3" s="1"/>
  <c r="G160" i="3"/>
  <c r="H160" i="3" s="1"/>
  <c r="J160" i="3" s="1"/>
  <c r="G32" i="3"/>
  <c r="H32" i="3" s="1"/>
  <c r="J32" i="3" s="1"/>
  <c r="G95" i="3"/>
  <c r="H95" i="3" s="1"/>
  <c r="J95" i="3" s="1"/>
  <c r="G288" i="3"/>
  <c r="H288" i="3" s="1"/>
  <c r="J288" i="3" s="1"/>
  <c r="G48" i="3"/>
  <c r="H48" i="3" s="1"/>
  <c r="J48" i="3" s="1"/>
  <c r="G249" i="3"/>
  <c r="H249" i="3" s="1"/>
  <c r="J249" i="3" s="1"/>
  <c r="G69" i="3"/>
  <c r="H69" i="3" s="1"/>
  <c r="J69" i="3" s="1"/>
  <c r="G62" i="3"/>
  <c r="H62" i="3" s="1"/>
  <c r="J62" i="3" s="1"/>
  <c r="G230" i="3"/>
  <c r="H230" i="3" s="1"/>
  <c r="J230" i="3" s="1"/>
  <c r="G214" i="3"/>
  <c r="H214" i="3" s="1"/>
  <c r="J214" i="3" s="1"/>
  <c r="G46" i="3"/>
  <c r="H46" i="3" s="1"/>
  <c r="J46" i="3" s="1"/>
  <c r="G155" i="3"/>
  <c r="H155" i="3" s="1"/>
  <c r="J155" i="3" s="1"/>
  <c r="G278" i="3"/>
  <c r="H278" i="3" s="1"/>
  <c r="J278" i="3" s="1"/>
  <c r="G63" i="3"/>
  <c r="H63" i="3" s="1"/>
  <c r="J63" i="3" s="1"/>
  <c r="G246" i="3"/>
  <c r="H246" i="3" s="1"/>
  <c r="J246" i="3" s="1"/>
  <c r="G52" i="3"/>
  <c r="H52" i="3" s="1"/>
  <c r="J52" i="3" s="1"/>
  <c r="G109" i="3"/>
  <c r="H109" i="3" s="1"/>
  <c r="J109" i="3" s="1"/>
  <c r="G180" i="3"/>
  <c r="H180" i="3" s="1"/>
  <c r="J180" i="3" s="1"/>
  <c r="G301" i="3"/>
  <c r="H301" i="3" s="1"/>
  <c r="J301" i="3" s="1"/>
  <c r="G57" i="3"/>
  <c r="H57" i="3" s="1"/>
  <c r="J57" i="3" s="1"/>
  <c r="H308" i="3" l="1"/>
  <c r="H6" i="3" s="1"/>
  <c r="C278" i="55"/>
  <c r="C48" i="55"/>
  <c r="C158" i="55"/>
  <c r="C170" i="55"/>
  <c r="C217" i="55"/>
  <c r="C119" i="55"/>
  <c r="C90" i="55"/>
  <c r="C257" i="55"/>
  <c r="C202" i="55"/>
  <c r="C182" i="55"/>
  <c r="C277" i="55"/>
  <c r="C21" i="55"/>
  <c r="C178" i="55"/>
  <c r="C204" i="55"/>
  <c r="C248" i="55"/>
  <c r="C264" i="55"/>
  <c r="C250" i="55"/>
  <c r="C186" i="55"/>
  <c r="C168" i="55"/>
  <c r="C281" i="55"/>
  <c r="C85" i="55"/>
  <c r="C26" i="55"/>
  <c r="C84" i="55"/>
  <c r="C293" i="55"/>
  <c r="C193" i="55"/>
  <c r="C79" i="55"/>
  <c r="C274" i="55"/>
  <c r="C38" i="55"/>
  <c r="C232" i="55"/>
  <c r="C56" i="55"/>
  <c r="C19" i="55"/>
  <c r="C80" i="55"/>
  <c r="C53" i="55"/>
  <c r="C129" i="55"/>
  <c r="C220" i="55"/>
  <c r="C23" i="55"/>
  <c r="C72" i="55"/>
  <c r="C46" i="55"/>
  <c r="C247" i="55"/>
  <c r="C105" i="55"/>
  <c r="C256" i="55"/>
  <c r="C57" i="55"/>
  <c r="C155" i="55"/>
  <c r="C288" i="55"/>
  <c r="C173" i="55"/>
  <c r="C138" i="55"/>
  <c r="C146" i="55"/>
  <c r="C112" i="55"/>
  <c r="C294" i="55"/>
  <c r="C28" i="55"/>
  <c r="C276" i="55"/>
  <c r="C88" i="55"/>
  <c r="C24" i="55"/>
  <c r="C73" i="55"/>
  <c r="C96" i="55"/>
  <c r="C167" i="55"/>
  <c r="C258" i="55"/>
  <c r="C81" i="55"/>
  <c r="C17" i="55"/>
  <c r="C163" i="55"/>
  <c r="C152" i="55"/>
  <c r="C295" i="55"/>
  <c r="C273" i="55"/>
  <c r="C292" i="55"/>
  <c r="C147" i="55"/>
  <c r="C241" i="55"/>
  <c r="C300" i="55"/>
  <c r="C144" i="55"/>
  <c r="C271" i="55"/>
  <c r="C203" i="55"/>
  <c r="C166" i="55"/>
  <c r="C14" i="55"/>
  <c r="C260" i="55"/>
  <c r="C33" i="55"/>
  <c r="C223" i="55"/>
  <c r="C228" i="55"/>
  <c r="C255" i="55"/>
  <c r="C242" i="55"/>
  <c r="C25" i="55"/>
  <c r="C13" i="55"/>
  <c r="C251" i="55"/>
  <c r="C301" i="55"/>
  <c r="C159" i="55"/>
  <c r="C190" i="55"/>
  <c r="C64" i="55"/>
  <c r="C215" i="55"/>
  <c r="C124" i="55"/>
  <c r="C205" i="55"/>
  <c r="C233" i="55"/>
  <c r="C97" i="55"/>
  <c r="C126" i="55"/>
  <c r="C192" i="55"/>
  <c r="C29" i="55"/>
  <c r="C222" i="55"/>
  <c r="C180" i="55"/>
  <c r="C32" i="55"/>
  <c r="C107" i="55"/>
  <c r="C269" i="55"/>
  <c r="C267" i="55"/>
  <c r="C66" i="55"/>
  <c r="C289" i="55"/>
  <c r="C196" i="55"/>
  <c r="C11" i="55"/>
  <c r="C130" i="55"/>
  <c r="C206" i="55"/>
  <c r="C268" i="55"/>
  <c r="C122" i="55"/>
  <c r="C236" i="55"/>
  <c r="C36" i="55"/>
  <c r="C35" i="55"/>
  <c r="C209" i="55"/>
  <c r="C285" i="55"/>
  <c r="C109" i="55"/>
  <c r="C230" i="55"/>
  <c r="C160" i="55"/>
  <c r="C291" i="55"/>
  <c r="C76" i="55"/>
  <c r="C18" i="55"/>
  <c r="C211" i="55"/>
  <c r="C307" i="55"/>
  <c r="C224" i="55"/>
  <c r="C261" i="55"/>
  <c r="C270" i="55"/>
  <c r="C12" i="55"/>
  <c r="C101" i="55"/>
  <c r="C216" i="55"/>
  <c r="C189" i="55"/>
  <c r="C44" i="55"/>
  <c r="C68" i="55"/>
  <c r="C61" i="55"/>
  <c r="C117" i="55"/>
  <c r="C171" i="55"/>
  <c r="C210" i="55"/>
  <c r="C55" i="55"/>
  <c r="C221" i="55"/>
  <c r="C283" i="55"/>
  <c r="C254" i="55"/>
  <c r="C227" i="55"/>
  <c r="C99" i="55"/>
  <c r="C280" i="55"/>
  <c r="C59" i="55"/>
  <c r="C135" i="55"/>
  <c r="C71" i="55"/>
  <c r="C106" i="55"/>
  <c r="C238" i="55"/>
  <c r="C284" i="55"/>
  <c r="C132" i="55"/>
  <c r="C162" i="55"/>
  <c r="C184" i="55"/>
  <c r="C290" i="55"/>
  <c r="C65" i="55"/>
  <c r="C41" i="55"/>
  <c r="C219" i="55"/>
  <c r="C54" i="55"/>
  <c r="C49" i="55"/>
  <c r="C125" i="55"/>
  <c r="C52" i="55"/>
  <c r="C62" i="55"/>
  <c r="C37" i="55"/>
  <c r="C298" i="55"/>
  <c r="C39" i="55"/>
  <c r="C74" i="55"/>
  <c r="C123" i="55"/>
  <c r="C157" i="55"/>
  <c r="C231" i="55"/>
  <c r="C34" i="55"/>
  <c r="C94" i="55"/>
  <c r="C86" i="55"/>
  <c r="C134" i="55"/>
  <c r="C169" i="55"/>
  <c r="C165" i="55"/>
  <c r="C113" i="55"/>
  <c r="C207" i="55"/>
  <c r="C143" i="55"/>
  <c r="C252" i="55"/>
  <c r="C140" i="55"/>
  <c r="C245" i="55"/>
  <c r="C188" i="55"/>
  <c r="C306" i="55"/>
  <c r="C244" i="55"/>
  <c r="C133" i="55"/>
  <c r="C282" i="55"/>
  <c r="C60" i="55"/>
  <c r="C299" i="55"/>
  <c r="C92" i="55"/>
  <c r="C200" i="55"/>
  <c r="C136" i="55"/>
  <c r="C82" i="55"/>
  <c r="C265" i="55"/>
  <c r="C212" i="55"/>
  <c r="C47" i="55"/>
  <c r="C121" i="55"/>
  <c r="C45" i="55"/>
  <c r="C179" i="55"/>
  <c r="C131" i="55"/>
  <c r="C302" i="55"/>
  <c r="C198" i="55"/>
  <c r="C67" i="55"/>
  <c r="C226" i="55"/>
  <c r="C296" i="55"/>
  <c r="C120" i="55"/>
  <c r="C108" i="55"/>
  <c r="C154" i="55"/>
  <c r="C58" i="55"/>
  <c r="C181" i="55"/>
  <c r="C214" i="55"/>
  <c r="C10" i="55"/>
  <c r="C305" i="55"/>
  <c r="C266" i="55"/>
  <c r="C240" i="55"/>
  <c r="C43" i="55"/>
  <c r="C253" i="55"/>
  <c r="C195" i="55"/>
  <c r="C151" i="55"/>
  <c r="C31" i="55"/>
  <c r="C27" i="55"/>
  <c r="C142" i="55"/>
  <c r="C77" i="55"/>
  <c r="C100" i="55"/>
  <c r="C83" i="55"/>
  <c r="C303" i="55"/>
  <c r="C279" i="55"/>
  <c r="C246" i="55"/>
  <c r="C69" i="55"/>
  <c r="C197" i="55"/>
  <c r="C177" i="55"/>
  <c r="C172" i="55"/>
  <c r="C115" i="55"/>
  <c r="C98" i="55"/>
  <c r="C93" i="55"/>
  <c r="C75" i="55"/>
  <c r="C111" i="55"/>
  <c r="C149" i="55"/>
  <c r="C150" i="55"/>
  <c r="C9" i="55"/>
  <c r="C194" i="55"/>
  <c r="C110" i="55"/>
  <c r="C164" i="55"/>
  <c r="C272" i="55"/>
  <c r="C208" i="55"/>
  <c r="C287" i="55"/>
  <c r="C103" i="55"/>
  <c r="C16" i="55"/>
  <c r="C185" i="55"/>
  <c r="C275" i="55"/>
  <c r="C128" i="55"/>
  <c r="C237" i="55"/>
  <c r="C234" i="55"/>
  <c r="C201" i="55"/>
  <c r="C174" i="55"/>
  <c r="C127" i="55"/>
  <c r="C153" i="55"/>
  <c r="C89" i="55"/>
  <c r="C30" i="55"/>
  <c r="C145" i="55"/>
  <c r="C183" i="55"/>
  <c r="C175" i="55"/>
  <c r="C229" i="55"/>
  <c r="C102" i="55"/>
  <c r="C95" i="55"/>
  <c r="C40" i="55"/>
  <c r="C70" i="55"/>
  <c r="C63" i="55"/>
  <c r="C249" i="55"/>
  <c r="C286" i="55"/>
  <c r="C42" i="55"/>
  <c r="C263" i="55"/>
  <c r="C148" i="55"/>
  <c r="C259" i="55"/>
  <c r="C304" i="55"/>
  <c r="C218" i="55"/>
  <c r="C87" i="55"/>
  <c r="C116" i="55"/>
  <c r="C156" i="55"/>
  <c r="C51" i="55"/>
  <c r="C235" i="55"/>
  <c r="C297" i="55"/>
  <c r="C199" i="55"/>
  <c r="C225" i="55"/>
  <c r="C161" i="55"/>
  <c r="C239" i="55"/>
  <c r="C78" i="55"/>
  <c r="C141" i="55"/>
  <c r="C137" i="55"/>
  <c r="C91" i="55"/>
  <c r="C213" i="55"/>
  <c r="C243" i="55"/>
  <c r="C139" i="55"/>
  <c r="C20" i="55"/>
  <c r="C191" i="55"/>
  <c r="C114" i="55"/>
  <c r="C22" i="55"/>
  <c r="C50" i="55"/>
  <c r="C15" i="55"/>
  <c r="C104" i="55"/>
  <c r="C176" i="55"/>
  <c r="C187" i="55"/>
  <c r="C118" i="55"/>
  <c r="C262" i="55"/>
  <c r="G8" i="45"/>
  <c r="G10" i="45" s="1"/>
  <c r="G13" i="45" s="1"/>
  <c r="C8" i="55"/>
  <c r="G16" i="45"/>
  <c r="B19" i="45"/>
  <c r="J308" i="3" l="1"/>
  <c r="E6" i="57"/>
  <c r="H6" i="57" s="1"/>
  <c r="C308" i="55"/>
  <c r="B10" i="45"/>
  <c r="G19" i="45"/>
  <c r="B20" i="45" s="1"/>
  <c r="K145" i="3" l="1"/>
  <c r="K141" i="3"/>
  <c r="K263" i="3"/>
  <c r="K189" i="3"/>
  <c r="K90" i="3"/>
  <c r="K223" i="3"/>
  <c r="K199" i="3"/>
  <c r="K128" i="3"/>
  <c r="K151" i="3"/>
  <c r="K282" i="3"/>
  <c r="K290" i="3"/>
  <c r="K18" i="3"/>
  <c r="K215" i="3"/>
  <c r="K73" i="3"/>
  <c r="K26" i="3"/>
  <c r="K60" i="3"/>
  <c r="K155" i="3"/>
  <c r="K221" i="3"/>
  <c r="K20" i="3"/>
  <c r="K175" i="3"/>
  <c r="K197" i="3"/>
  <c r="K45" i="3"/>
  <c r="K39" i="3"/>
  <c r="K68" i="3"/>
  <c r="K107" i="3"/>
  <c r="K147" i="3"/>
  <c r="K53" i="3"/>
  <c r="K278" i="3"/>
  <c r="K176" i="3"/>
  <c r="K249" i="3"/>
  <c r="K111" i="3"/>
  <c r="K296" i="3"/>
  <c r="K86" i="3"/>
  <c r="K283" i="3"/>
  <c r="K130" i="3"/>
  <c r="K14" i="3"/>
  <c r="K105" i="3"/>
  <c r="K257" i="3"/>
  <c r="K132" i="3"/>
  <c r="K79" i="3"/>
  <c r="K98" i="3"/>
  <c r="K289" i="3"/>
  <c r="K58" i="3"/>
  <c r="K228" i="3"/>
  <c r="K16" i="3"/>
  <c r="K127" i="3"/>
  <c r="K102" i="3"/>
  <c r="K267" i="3"/>
  <c r="K43" i="3"/>
  <c r="K146" i="3"/>
  <c r="K156" i="3"/>
  <c r="K103" i="3"/>
  <c r="K240" i="3"/>
  <c r="K188" i="3"/>
  <c r="K284" i="3"/>
  <c r="K230" i="3"/>
  <c r="K301" i="3"/>
  <c r="K28" i="3"/>
  <c r="K186" i="3"/>
  <c r="K123" i="3"/>
  <c r="K220" i="3"/>
  <c r="K160" i="3"/>
  <c r="K91" i="3"/>
  <c r="K89" i="3"/>
  <c r="K303" i="3"/>
  <c r="K265" i="3"/>
  <c r="K52" i="3"/>
  <c r="K101" i="3"/>
  <c r="K29" i="3"/>
  <c r="K152" i="3"/>
  <c r="K232" i="3"/>
  <c r="K172" i="3"/>
  <c r="K22" i="3"/>
  <c r="K95" i="3"/>
  <c r="K115" i="3"/>
  <c r="K302" i="3"/>
  <c r="K157" i="3"/>
  <c r="K171" i="3"/>
  <c r="K66" i="3"/>
  <c r="K144" i="3"/>
  <c r="K23" i="3"/>
  <c r="K170" i="3"/>
  <c r="K262" i="3"/>
  <c r="K63" i="3"/>
  <c r="K272" i="3"/>
  <c r="K159" i="3"/>
  <c r="K47" i="3"/>
  <c r="K248" i="3"/>
  <c r="K304" i="3"/>
  <c r="K164" i="3"/>
  <c r="K214" i="3"/>
  <c r="K143" i="3"/>
  <c r="K135" i="3"/>
  <c r="K35" i="3"/>
  <c r="K242" i="3"/>
  <c r="K138" i="3"/>
  <c r="K204" i="3"/>
  <c r="K71" i="3"/>
  <c r="K274" i="3"/>
  <c r="K180" i="3"/>
  <c r="K239" i="3"/>
  <c r="K201" i="3"/>
  <c r="K142" i="3"/>
  <c r="K92" i="3"/>
  <c r="K219" i="3"/>
  <c r="K224" i="3"/>
  <c r="K233" i="3"/>
  <c r="K258" i="3"/>
  <c r="K193" i="3"/>
  <c r="K226" i="3"/>
  <c r="K139" i="3"/>
  <c r="K183" i="3"/>
  <c r="K69" i="3"/>
  <c r="K121" i="3"/>
  <c r="K298" i="3"/>
  <c r="K44" i="3"/>
  <c r="K32" i="3"/>
  <c r="K292" i="3"/>
  <c r="K80" i="3"/>
  <c r="K65" i="3"/>
  <c r="K126" i="3"/>
  <c r="K271" i="3"/>
  <c r="K75" i="3"/>
  <c r="K211" i="3"/>
  <c r="K100" i="3"/>
  <c r="K273" i="3"/>
  <c r="K252" i="3"/>
  <c r="K118" i="3"/>
  <c r="K42" i="3"/>
  <c r="K150" i="3"/>
  <c r="K108" i="3"/>
  <c r="K169" i="3"/>
  <c r="K227" i="3"/>
  <c r="K268" i="3"/>
  <c r="K33" i="3"/>
  <c r="K57" i="3"/>
  <c r="K182" i="3"/>
  <c r="K270" i="3"/>
  <c r="K158" i="3"/>
  <c r="K25" i="3"/>
  <c r="K297" i="3"/>
  <c r="K275" i="3"/>
  <c r="K195" i="3"/>
  <c r="K133" i="3"/>
  <c r="K184" i="3"/>
  <c r="K76" i="3"/>
  <c r="K64" i="3"/>
  <c r="K24" i="3"/>
  <c r="K85" i="3"/>
  <c r="K165" i="3"/>
  <c r="K137" i="3"/>
  <c r="K153" i="3"/>
  <c r="K83" i="3"/>
  <c r="K82" i="3"/>
  <c r="K125" i="3"/>
  <c r="K12" i="3"/>
  <c r="K192" i="3"/>
  <c r="K163" i="3"/>
  <c r="K38" i="3"/>
  <c r="K8" i="3"/>
  <c r="K84" i="3"/>
  <c r="K154" i="3"/>
  <c r="K198" i="3"/>
  <c r="K277" i="3"/>
  <c r="K113" i="3"/>
  <c r="K21" i="3"/>
  <c r="K114" i="3"/>
  <c r="K104" i="3"/>
  <c r="K10" i="3"/>
  <c r="K96" i="3"/>
  <c r="K49" i="3"/>
  <c r="K15" i="3"/>
  <c r="K70" i="3"/>
  <c r="K93" i="3"/>
  <c r="K67" i="3"/>
  <c r="K34" i="3"/>
  <c r="K55" i="3"/>
  <c r="K196" i="3"/>
  <c r="K203" i="3"/>
  <c r="K46" i="3"/>
  <c r="K119" i="3"/>
  <c r="K11" i="3"/>
  <c r="K31" i="3"/>
  <c r="K276" i="3"/>
  <c r="K116" i="3"/>
  <c r="K287" i="3"/>
  <c r="K266" i="3"/>
  <c r="K245" i="3"/>
  <c r="K238" i="3"/>
  <c r="K109" i="3"/>
  <c r="K251" i="3"/>
  <c r="K294" i="3"/>
  <c r="K250" i="3"/>
  <c r="K99" i="3"/>
  <c r="K161" i="3"/>
  <c r="K234" i="3"/>
  <c r="K27" i="3"/>
  <c r="K299" i="3"/>
  <c r="K41" i="3"/>
  <c r="K307" i="3"/>
  <c r="K205" i="3"/>
  <c r="K167" i="3"/>
  <c r="K293" i="3"/>
  <c r="K218" i="3"/>
  <c r="K78" i="3"/>
  <c r="K77" i="3"/>
  <c r="K54" i="3"/>
  <c r="K97" i="3"/>
  <c r="K17" i="3"/>
  <c r="K50" i="3"/>
  <c r="K210" i="3"/>
  <c r="K72" i="3"/>
  <c r="K194" i="3"/>
  <c r="K236" i="3"/>
  <c r="K237" i="3"/>
  <c r="K243" i="3"/>
  <c r="K136" i="3"/>
  <c r="K247" i="3"/>
  <c r="K117" i="3"/>
  <c r="K191" i="3"/>
  <c r="K229" i="3"/>
  <c r="K177" i="3"/>
  <c r="K179" i="3"/>
  <c r="K74" i="3"/>
  <c r="K61" i="3"/>
  <c r="K269" i="3"/>
  <c r="K241" i="3"/>
  <c r="K129" i="3"/>
  <c r="K48" i="3"/>
  <c r="K124" i="3"/>
  <c r="K131" i="3"/>
  <c r="K168" i="3"/>
  <c r="K259" i="3"/>
  <c r="K110" i="3"/>
  <c r="K181" i="3"/>
  <c r="K207" i="3"/>
  <c r="K59" i="3"/>
  <c r="K36" i="3"/>
  <c r="K255" i="3"/>
  <c r="K173" i="3"/>
  <c r="K178" i="3"/>
  <c r="K122" i="3"/>
  <c r="K235" i="3"/>
  <c r="K185" i="3"/>
  <c r="K253" i="3"/>
  <c r="K244" i="3"/>
  <c r="K162" i="3"/>
  <c r="K291" i="3"/>
  <c r="K190" i="3"/>
  <c r="K88" i="3"/>
  <c r="K281" i="3"/>
  <c r="K9" i="3"/>
  <c r="K174" i="3"/>
  <c r="K200" i="3"/>
  <c r="K261" i="3"/>
  <c r="K81" i="3"/>
  <c r="K37" i="3"/>
  <c r="K40" i="3"/>
  <c r="K231" i="3"/>
  <c r="K217" i="3"/>
  <c r="K148" i="3"/>
  <c r="K280" i="3"/>
  <c r="K225" i="3"/>
  <c r="K51" i="3"/>
  <c r="K94" i="3"/>
  <c r="K19" i="3"/>
  <c r="K209" i="3"/>
  <c r="K213" i="3"/>
  <c r="K30" i="3"/>
  <c r="K279" i="3"/>
  <c r="K212" i="3"/>
  <c r="K62" i="3"/>
  <c r="K216" i="3"/>
  <c r="K222" i="3"/>
  <c r="K295" i="3"/>
  <c r="K56" i="3"/>
  <c r="K246" i="3"/>
  <c r="K166" i="3"/>
  <c r="K306" i="3"/>
  <c r="K187" i="3"/>
  <c r="K286" i="3"/>
  <c r="K149" i="3"/>
  <c r="K120" i="3"/>
  <c r="K134" i="3"/>
  <c r="K254" i="3"/>
  <c r="K206" i="3"/>
  <c r="K260" i="3"/>
  <c r="K256" i="3"/>
  <c r="K202" i="3"/>
  <c r="K300" i="3"/>
  <c r="K87" i="3"/>
  <c r="K208" i="3"/>
  <c r="K305" i="3"/>
  <c r="K140" i="3"/>
  <c r="K106" i="3"/>
  <c r="K285" i="3"/>
  <c r="K13" i="3"/>
  <c r="K112" i="3"/>
  <c r="K264" i="3"/>
  <c r="K288" i="3"/>
  <c r="L305" i="3" l="1"/>
  <c r="D305" i="55" s="1"/>
  <c r="L253" i="3"/>
  <c r="D253" i="55" s="1"/>
  <c r="L208" i="3"/>
  <c r="D208" i="55" s="1"/>
  <c r="L191" i="3"/>
  <c r="D191" i="55" s="1"/>
  <c r="L72" i="3"/>
  <c r="D72" i="55" s="1"/>
  <c r="L12" i="3"/>
  <c r="D12" i="55" s="1"/>
  <c r="L24" i="3"/>
  <c r="D24" i="55" s="1"/>
  <c r="L169" i="3"/>
  <c r="D169" i="55" s="1"/>
  <c r="L44" i="3"/>
  <c r="D44" i="55" s="1"/>
  <c r="L143" i="3"/>
  <c r="D143" i="55" s="1"/>
  <c r="L302" i="3"/>
  <c r="D302" i="55" s="1"/>
  <c r="L103" i="3"/>
  <c r="D103" i="55" s="1"/>
  <c r="L228" i="3"/>
  <c r="D228" i="55" s="1"/>
  <c r="L125" i="3"/>
  <c r="D125" i="55" s="1"/>
  <c r="L108" i="3"/>
  <c r="D108" i="55" s="1"/>
  <c r="L298" i="3"/>
  <c r="D298" i="55" s="1"/>
  <c r="L115" i="3"/>
  <c r="D115" i="55" s="1"/>
  <c r="L58" i="3"/>
  <c r="D58" i="55" s="1"/>
  <c r="L290" i="3"/>
  <c r="D290" i="55" s="1"/>
  <c r="L217" i="3"/>
  <c r="D217" i="55" s="1"/>
  <c r="L185" i="3"/>
  <c r="D185" i="55" s="1"/>
  <c r="L264" i="3"/>
  <c r="D264" i="55" s="1"/>
  <c r="L87" i="3"/>
  <c r="D87" i="55" s="1"/>
  <c r="L241" i="3"/>
  <c r="D241" i="55" s="1"/>
  <c r="L112" i="3"/>
  <c r="D112" i="55" s="1"/>
  <c r="L88" i="3"/>
  <c r="D88" i="55" s="1"/>
  <c r="L269" i="3"/>
  <c r="D269" i="55" s="1"/>
  <c r="L82" i="3"/>
  <c r="D82" i="55" s="1"/>
  <c r="L121" i="3"/>
  <c r="D121" i="55" s="1"/>
  <c r="L164" i="3"/>
  <c r="D164" i="55" s="1"/>
  <c r="L170" i="3"/>
  <c r="D170" i="55" s="1"/>
  <c r="L95" i="3"/>
  <c r="D95" i="55" s="1"/>
  <c r="L28" i="3"/>
  <c r="D28" i="55" s="1"/>
  <c r="L288" i="3"/>
  <c r="D288" i="55" s="1"/>
  <c r="L281" i="3"/>
  <c r="D281" i="55" s="1"/>
  <c r="L222" i="3"/>
  <c r="D222" i="55" s="1"/>
  <c r="L94" i="3"/>
  <c r="D94" i="55" s="1"/>
  <c r="L190" i="3"/>
  <c r="D190" i="55" s="1"/>
  <c r="L55" i="3"/>
  <c r="D55" i="55" s="1"/>
  <c r="L83" i="3"/>
  <c r="D83" i="55" s="1"/>
  <c r="L182" i="3"/>
  <c r="D182" i="55" s="1"/>
  <c r="L69" i="3"/>
  <c r="D69" i="55" s="1"/>
  <c r="L204" i="3"/>
  <c r="D204" i="55" s="1"/>
  <c r="L304" i="3"/>
  <c r="D304" i="55" s="1"/>
  <c r="L23" i="3"/>
  <c r="D23" i="55" s="1"/>
  <c r="L301" i="3"/>
  <c r="D301" i="55" s="1"/>
  <c r="L38" i="3"/>
  <c r="D38" i="55" s="1"/>
  <c r="L140" i="3"/>
  <c r="D140" i="55" s="1"/>
  <c r="L279" i="3"/>
  <c r="D279" i="55" s="1"/>
  <c r="L280" i="3"/>
  <c r="D280" i="55" s="1"/>
  <c r="L244" i="3"/>
  <c r="D244" i="55" s="1"/>
  <c r="L177" i="3"/>
  <c r="D177" i="55" s="1"/>
  <c r="L236" i="3"/>
  <c r="D236" i="55" s="1"/>
  <c r="L21" i="3"/>
  <c r="D21" i="55" s="1"/>
  <c r="L163" i="3"/>
  <c r="D163" i="55" s="1"/>
  <c r="L292" i="3"/>
  <c r="D292" i="55" s="1"/>
  <c r="L171" i="3"/>
  <c r="D171" i="55" s="1"/>
  <c r="L148" i="3"/>
  <c r="D148" i="55" s="1"/>
  <c r="L194" i="3"/>
  <c r="D194" i="55" s="1"/>
  <c r="L119" i="3"/>
  <c r="D119" i="55" s="1"/>
  <c r="L70" i="3"/>
  <c r="D70" i="55" s="1"/>
  <c r="L113" i="3"/>
  <c r="D113" i="55" s="1"/>
  <c r="L192" i="3"/>
  <c r="D192" i="55" s="1"/>
  <c r="L85" i="3"/>
  <c r="D85" i="55" s="1"/>
  <c r="L227" i="3"/>
  <c r="D227" i="55" s="1"/>
  <c r="L32" i="3"/>
  <c r="D32" i="55" s="1"/>
  <c r="L157" i="3"/>
  <c r="D157" i="55" s="1"/>
  <c r="L240" i="3"/>
  <c r="D240" i="55" s="1"/>
  <c r="L62" i="3"/>
  <c r="D62" i="55" s="1"/>
  <c r="L97" i="3"/>
  <c r="D97" i="55" s="1"/>
  <c r="L34" i="3"/>
  <c r="D34" i="55" s="1"/>
  <c r="L57" i="3"/>
  <c r="D57" i="55" s="1"/>
  <c r="L92" i="3"/>
  <c r="D92" i="55" s="1"/>
  <c r="L172" i="3"/>
  <c r="D172" i="55" s="1"/>
  <c r="L89" i="3"/>
  <c r="D89" i="55" s="1"/>
  <c r="L267" i="3"/>
  <c r="D267" i="55" s="1"/>
  <c r="L128" i="3"/>
  <c r="D128" i="55" s="1"/>
  <c r="L106" i="3"/>
  <c r="D106" i="55" s="1"/>
  <c r="L260" i="3"/>
  <c r="D260" i="55" s="1"/>
  <c r="L306" i="3"/>
  <c r="D306" i="55" s="1"/>
  <c r="L212" i="3"/>
  <c r="D212" i="55" s="1"/>
  <c r="L225" i="3"/>
  <c r="D225" i="55" s="1"/>
  <c r="L261" i="3"/>
  <c r="D261" i="55" s="1"/>
  <c r="L162" i="3"/>
  <c r="D162" i="55" s="1"/>
  <c r="L255" i="3"/>
  <c r="D255" i="55" s="1"/>
  <c r="L131" i="3"/>
  <c r="D131" i="55" s="1"/>
  <c r="L179" i="3"/>
  <c r="D179" i="55" s="1"/>
  <c r="L237" i="3"/>
  <c r="D237" i="55" s="1"/>
  <c r="L54" i="3"/>
  <c r="D54" i="55" s="1"/>
  <c r="L41" i="3"/>
  <c r="D41" i="55" s="1"/>
  <c r="L251" i="3"/>
  <c r="D251" i="55" s="1"/>
  <c r="L31" i="3"/>
  <c r="D31" i="55" s="1"/>
  <c r="L67" i="3"/>
  <c r="D67" i="55" s="1"/>
  <c r="L114" i="3"/>
  <c r="D114" i="55" s="1"/>
  <c r="L137" i="3"/>
  <c r="D137" i="55" s="1"/>
  <c r="L195" i="3"/>
  <c r="D195" i="55" s="1"/>
  <c r="L33" i="3"/>
  <c r="D33" i="55" s="1"/>
  <c r="L252" i="3"/>
  <c r="D252" i="55" s="1"/>
  <c r="L80" i="3"/>
  <c r="D80" i="55" s="1"/>
  <c r="L139" i="3"/>
  <c r="D139" i="55" s="1"/>
  <c r="L142" i="3"/>
  <c r="D142" i="55" s="1"/>
  <c r="L242" i="3"/>
  <c r="D242" i="55" s="1"/>
  <c r="L47" i="3"/>
  <c r="D47" i="55" s="1"/>
  <c r="L66" i="3"/>
  <c r="D66" i="55" s="1"/>
  <c r="L232" i="3"/>
  <c r="D232" i="55" s="1"/>
  <c r="L91" i="3"/>
  <c r="D91" i="55" s="1"/>
  <c r="L284" i="3"/>
  <c r="D284" i="55" s="1"/>
  <c r="L102" i="3"/>
  <c r="D102" i="55" s="1"/>
  <c r="L132" i="3"/>
  <c r="D132" i="55" s="1"/>
  <c r="L111" i="3"/>
  <c r="D111" i="55" s="1"/>
  <c r="L39" i="3"/>
  <c r="D39" i="55" s="1"/>
  <c r="L26" i="3"/>
  <c r="D26" i="55" s="1"/>
  <c r="L199" i="3"/>
  <c r="D199" i="55" s="1"/>
  <c r="L256" i="3"/>
  <c r="D256" i="55" s="1"/>
  <c r="L168" i="3"/>
  <c r="D168" i="55" s="1"/>
  <c r="L294" i="3"/>
  <c r="D294" i="55" s="1"/>
  <c r="L133" i="3"/>
  <c r="D133" i="55" s="1"/>
  <c r="L79" i="3"/>
  <c r="D79" i="55" s="1"/>
  <c r="L206" i="3"/>
  <c r="D206" i="55" s="1"/>
  <c r="L166" i="3"/>
  <c r="D166" i="55" s="1"/>
  <c r="L200" i="3"/>
  <c r="D200" i="55" s="1"/>
  <c r="L36" i="3"/>
  <c r="D36" i="55" s="1"/>
  <c r="L124" i="3"/>
  <c r="D124" i="55" s="1"/>
  <c r="L77" i="3"/>
  <c r="D77" i="55" s="1"/>
  <c r="L299" i="3"/>
  <c r="D299" i="55" s="1"/>
  <c r="L109" i="3"/>
  <c r="D109" i="55" s="1"/>
  <c r="L11" i="3"/>
  <c r="D11" i="55" s="1"/>
  <c r="L93" i="3"/>
  <c r="D93" i="55" s="1"/>
  <c r="L165" i="3"/>
  <c r="D165" i="55" s="1"/>
  <c r="L275" i="3"/>
  <c r="D275" i="55" s="1"/>
  <c r="L268" i="3"/>
  <c r="D268" i="55" s="1"/>
  <c r="L273" i="3"/>
  <c r="D273" i="55" s="1"/>
  <c r="L226" i="3"/>
  <c r="D226" i="55" s="1"/>
  <c r="L201" i="3"/>
  <c r="D201" i="55" s="1"/>
  <c r="L35" i="3"/>
  <c r="D35" i="55" s="1"/>
  <c r="L159" i="3"/>
  <c r="D159" i="55" s="1"/>
  <c r="L152" i="3"/>
  <c r="D152" i="55" s="1"/>
  <c r="L160" i="3"/>
  <c r="D160" i="55" s="1"/>
  <c r="L188" i="3"/>
  <c r="D188" i="55" s="1"/>
  <c r="L127" i="3"/>
  <c r="D127" i="55" s="1"/>
  <c r="L257" i="3"/>
  <c r="D257" i="55" s="1"/>
  <c r="L249" i="3"/>
  <c r="D249" i="55" s="1"/>
  <c r="L45" i="3"/>
  <c r="D45" i="55" s="1"/>
  <c r="L73" i="3"/>
  <c r="D73" i="55" s="1"/>
  <c r="L223" i="3"/>
  <c r="D223" i="55" s="1"/>
  <c r="L51" i="3"/>
  <c r="D51" i="55" s="1"/>
  <c r="L74" i="3"/>
  <c r="D74" i="55" s="1"/>
  <c r="L104" i="3"/>
  <c r="D104" i="55" s="1"/>
  <c r="L183" i="3"/>
  <c r="D183" i="55" s="1"/>
  <c r="L296" i="3"/>
  <c r="D296" i="55" s="1"/>
  <c r="L254" i="3"/>
  <c r="D254" i="55" s="1"/>
  <c r="L246" i="3"/>
  <c r="D246" i="55" s="1"/>
  <c r="L30" i="3"/>
  <c r="D30" i="55" s="1"/>
  <c r="L174" i="3"/>
  <c r="D174" i="55" s="1"/>
  <c r="L59" i="3"/>
  <c r="D59" i="55" s="1"/>
  <c r="L48" i="3"/>
  <c r="D48" i="55" s="1"/>
  <c r="L229" i="3"/>
  <c r="D229" i="55" s="1"/>
  <c r="L78" i="3"/>
  <c r="D78" i="55" s="1"/>
  <c r="L27" i="3"/>
  <c r="D27" i="55" s="1"/>
  <c r="L238" i="3"/>
  <c r="D238" i="55" s="1"/>
  <c r="L297" i="3"/>
  <c r="D297" i="55" s="1"/>
  <c r="L100" i="3"/>
  <c r="D100" i="55" s="1"/>
  <c r="L193" i="3"/>
  <c r="D193" i="55" s="1"/>
  <c r="L239" i="3"/>
  <c r="D239" i="55" s="1"/>
  <c r="L135" i="3"/>
  <c r="D135" i="55" s="1"/>
  <c r="L272" i="3"/>
  <c r="D272" i="55" s="1"/>
  <c r="L29" i="3"/>
  <c r="D29" i="55" s="1"/>
  <c r="L220" i="3"/>
  <c r="D220" i="55" s="1"/>
  <c r="L16" i="3"/>
  <c r="D16" i="55" s="1"/>
  <c r="L105" i="3"/>
  <c r="D105" i="55" s="1"/>
  <c r="L176" i="3"/>
  <c r="D176" i="55" s="1"/>
  <c r="L197" i="3"/>
  <c r="D197" i="55" s="1"/>
  <c r="L215" i="3"/>
  <c r="D215" i="55" s="1"/>
  <c r="L90" i="3"/>
  <c r="D90" i="55" s="1"/>
  <c r="L81" i="3"/>
  <c r="D81" i="55" s="1"/>
  <c r="L243" i="3"/>
  <c r="D243" i="55" s="1"/>
  <c r="L276" i="3"/>
  <c r="D276" i="55" s="1"/>
  <c r="L153" i="3"/>
  <c r="D153" i="55" s="1"/>
  <c r="L65" i="3"/>
  <c r="D65" i="55" s="1"/>
  <c r="L248" i="3"/>
  <c r="D248" i="55" s="1"/>
  <c r="L68" i="3"/>
  <c r="D68" i="55" s="1"/>
  <c r="L134" i="3"/>
  <c r="D134" i="55" s="1"/>
  <c r="L56" i="3"/>
  <c r="D56" i="55" s="1"/>
  <c r="L213" i="3"/>
  <c r="D213" i="55" s="1"/>
  <c r="L9" i="3"/>
  <c r="D9" i="55" s="1"/>
  <c r="L207" i="3"/>
  <c r="D207" i="55" s="1"/>
  <c r="L129" i="3"/>
  <c r="D129" i="55" s="1"/>
  <c r="L218" i="3"/>
  <c r="D218" i="55" s="1"/>
  <c r="L234" i="3"/>
  <c r="D234" i="55" s="1"/>
  <c r="L245" i="3"/>
  <c r="D245" i="55" s="1"/>
  <c r="L46" i="3"/>
  <c r="D46" i="55" s="1"/>
  <c r="L15" i="3"/>
  <c r="L277" i="3"/>
  <c r="D277" i="55" s="1"/>
  <c r="L25" i="3"/>
  <c r="D25" i="55" s="1"/>
  <c r="L211" i="3"/>
  <c r="D211" i="55" s="1"/>
  <c r="L258" i="3"/>
  <c r="D258" i="55" s="1"/>
  <c r="L180" i="3"/>
  <c r="D180" i="55" s="1"/>
  <c r="L63" i="3"/>
  <c r="D63" i="55" s="1"/>
  <c r="L101" i="3"/>
  <c r="D101" i="55" s="1"/>
  <c r="L123" i="3"/>
  <c r="D123" i="55" s="1"/>
  <c r="L14" i="3"/>
  <c r="D14" i="55" s="1"/>
  <c r="L278" i="3"/>
  <c r="D278" i="55" s="1"/>
  <c r="L175" i="3"/>
  <c r="D175" i="55" s="1"/>
  <c r="L18" i="3"/>
  <c r="D18" i="55" s="1"/>
  <c r="L189" i="3"/>
  <c r="D189" i="55" s="1"/>
  <c r="L291" i="3"/>
  <c r="D291" i="55" s="1"/>
  <c r="L230" i="3"/>
  <c r="D230" i="55" s="1"/>
  <c r="L120" i="3"/>
  <c r="D120" i="55" s="1"/>
  <c r="L295" i="3"/>
  <c r="D295" i="55" s="1"/>
  <c r="L209" i="3"/>
  <c r="D209" i="55" s="1"/>
  <c r="L231" i="3"/>
  <c r="D231" i="55" s="1"/>
  <c r="L235" i="3"/>
  <c r="D235" i="55" s="1"/>
  <c r="L181" i="3"/>
  <c r="D181" i="55" s="1"/>
  <c r="L117" i="3"/>
  <c r="D117" i="55" s="1"/>
  <c r="L210" i="3"/>
  <c r="D210" i="55" s="1"/>
  <c r="L293" i="3"/>
  <c r="D293" i="55" s="1"/>
  <c r="L161" i="3"/>
  <c r="D161" i="55" s="1"/>
  <c r="L266" i="3"/>
  <c r="D266" i="55" s="1"/>
  <c r="L203" i="3"/>
  <c r="D203" i="55" s="1"/>
  <c r="L49" i="3"/>
  <c r="D49" i="55" s="1"/>
  <c r="L198" i="3"/>
  <c r="D198" i="55" s="1"/>
  <c r="L64" i="3"/>
  <c r="D64" i="55" s="1"/>
  <c r="L158" i="3"/>
  <c r="D158" i="55" s="1"/>
  <c r="L75" i="3"/>
  <c r="D75" i="55" s="1"/>
  <c r="L233" i="3"/>
  <c r="D233" i="55" s="1"/>
  <c r="L274" i="3"/>
  <c r="D274" i="55" s="1"/>
  <c r="L214" i="3"/>
  <c r="D214" i="55" s="1"/>
  <c r="L262" i="3"/>
  <c r="D262" i="55" s="1"/>
  <c r="L52" i="3"/>
  <c r="D52" i="55" s="1"/>
  <c r="L186" i="3"/>
  <c r="D186" i="55" s="1"/>
  <c r="L156" i="3"/>
  <c r="D156" i="55" s="1"/>
  <c r="L130" i="3"/>
  <c r="D130" i="55" s="1"/>
  <c r="L53" i="3"/>
  <c r="D53" i="55" s="1"/>
  <c r="L20" i="3"/>
  <c r="D20" i="55" s="1"/>
  <c r="L263" i="3"/>
  <c r="D263" i="55" s="1"/>
  <c r="L187" i="3"/>
  <c r="D187" i="55" s="1"/>
  <c r="L173" i="3"/>
  <c r="D173" i="55" s="1"/>
  <c r="L307" i="3"/>
  <c r="D307" i="55" s="1"/>
  <c r="L8" i="3"/>
  <c r="L118" i="3"/>
  <c r="D118" i="55" s="1"/>
  <c r="L138" i="3"/>
  <c r="D138" i="55" s="1"/>
  <c r="L60" i="3"/>
  <c r="D60" i="55" s="1"/>
  <c r="L300" i="3"/>
  <c r="D300" i="55" s="1"/>
  <c r="L149" i="3"/>
  <c r="D149" i="55" s="1"/>
  <c r="L19" i="3"/>
  <c r="D19" i="55" s="1"/>
  <c r="L40" i="3"/>
  <c r="D40" i="55" s="1"/>
  <c r="L122" i="3"/>
  <c r="D122" i="55" s="1"/>
  <c r="L110" i="3"/>
  <c r="D110" i="55" s="1"/>
  <c r="L247" i="3"/>
  <c r="D247" i="55" s="1"/>
  <c r="L50" i="3"/>
  <c r="D50" i="55" s="1"/>
  <c r="L167" i="3"/>
  <c r="D167" i="55" s="1"/>
  <c r="L99" i="3"/>
  <c r="D99" i="55" s="1"/>
  <c r="L287" i="3"/>
  <c r="D287" i="55" s="1"/>
  <c r="L196" i="3"/>
  <c r="D196" i="55" s="1"/>
  <c r="L96" i="3"/>
  <c r="D96" i="55" s="1"/>
  <c r="L154" i="3"/>
  <c r="D154" i="55" s="1"/>
  <c r="L76" i="3"/>
  <c r="D76" i="55" s="1"/>
  <c r="L270" i="3"/>
  <c r="D270" i="55" s="1"/>
  <c r="L150" i="3"/>
  <c r="D150" i="55" s="1"/>
  <c r="L271" i="3"/>
  <c r="D271" i="55" s="1"/>
  <c r="L224" i="3"/>
  <c r="D224" i="55" s="1"/>
  <c r="L71" i="3"/>
  <c r="D71" i="55" s="1"/>
  <c r="L265" i="3"/>
  <c r="D265" i="55" s="1"/>
  <c r="L146" i="3"/>
  <c r="D146" i="55" s="1"/>
  <c r="L289" i="3"/>
  <c r="D289" i="55" s="1"/>
  <c r="L283" i="3"/>
  <c r="D283" i="55" s="1"/>
  <c r="L147" i="3"/>
  <c r="D147" i="55" s="1"/>
  <c r="L221" i="3"/>
  <c r="D221" i="55" s="1"/>
  <c r="L282" i="3"/>
  <c r="D282" i="55" s="1"/>
  <c r="L141" i="3"/>
  <c r="D141" i="55" s="1"/>
  <c r="L285" i="3"/>
  <c r="D285" i="55" s="1"/>
  <c r="L144" i="3"/>
  <c r="D144" i="55" s="1"/>
  <c r="L13" i="3"/>
  <c r="D13" i="55" s="1"/>
  <c r="L202" i="3"/>
  <c r="D202" i="55" s="1"/>
  <c r="L286" i="3"/>
  <c r="D286" i="55" s="1"/>
  <c r="L216" i="3"/>
  <c r="D216" i="55" s="1"/>
  <c r="L37" i="3"/>
  <c r="D37" i="55" s="1"/>
  <c r="L178" i="3"/>
  <c r="D178" i="55" s="1"/>
  <c r="L259" i="3"/>
  <c r="D259" i="55" s="1"/>
  <c r="L61" i="3"/>
  <c r="D61" i="55" s="1"/>
  <c r="L136" i="3"/>
  <c r="D136" i="55" s="1"/>
  <c r="L17" i="3"/>
  <c r="D17" i="55" s="1"/>
  <c r="L205" i="3"/>
  <c r="D205" i="55" s="1"/>
  <c r="L250" i="3"/>
  <c r="D250" i="55" s="1"/>
  <c r="L116" i="3"/>
  <c r="D116" i="55" s="1"/>
  <c r="L10" i="3"/>
  <c r="D10" i="55" s="1"/>
  <c r="L84" i="3"/>
  <c r="D84" i="55" s="1"/>
  <c r="L184" i="3"/>
  <c r="D184" i="55" s="1"/>
  <c r="L42" i="3"/>
  <c r="D42" i="55" s="1"/>
  <c r="L126" i="3"/>
  <c r="D126" i="55" s="1"/>
  <c r="L219" i="3"/>
  <c r="D219" i="55" s="1"/>
  <c r="L22" i="3"/>
  <c r="D22" i="55" s="1"/>
  <c r="L303" i="3"/>
  <c r="D303" i="55" s="1"/>
  <c r="L43" i="3"/>
  <c r="D43" i="55" s="1"/>
  <c r="L98" i="3"/>
  <c r="D98" i="55" s="1"/>
  <c r="L86" i="3"/>
  <c r="D86" i="55" s="1"/>
  <c r="L107" i="3"/>
  <c r="D107" i="55" s="1"/>
  <c r="L155" i="3"/>
  <c r="D155" i="55" s="1"/>
  <c r="L151" i="3"/>
  <c r="D151" i="55" s="1"/>
  <c r="L145" i="3"/>
  <c r="D145" i="55" s="1"/>
  <c r="G20" i="45"/>
  <c r="E7" i="57" l="1"/>
  <c r="H7" i="57" s="1"/>
  <c r="L308" i="3"/>
  <c r="D15" i="55"/>
  <c r="D8" i="55"/>
  <c r="D308" i="55" l="1"/>
  <c r="L6" i="3"/>
  <c r="L308" i="21"/>
  <c r="L6" i="21" l="1"/>
  <c r="M278" i="21" s="1"/>
  <c r="M11" i="21" l="1"/>
  <c r="M19" i="21"/>
  <c r="N19" i="21" s="1"/>
  <c r="K19" i="55" s="1"/>
  <c r="M19" i="55" s="1"/>
  <c r="M27" i="21"/>
  <c r="M35" i="21"/>
  <c r="N35" i="21" s="1"/>
  <c r="K35" i="55" s="1"/>
  <c r="M35" i="55" s="1"/>
  <c r="M43" i="21"/>
  <c r="N43" i="21" s="1"/>
  <c r="K43" i="55" s="1"/>
  <c r="M43" i="55" s="1"/>
  <c r="M51" i="21"/>
  <c r="N51" i="21" s="1"/>
  <c r="K51" i="55" s="1"/>
  <c r="M51" i="55" s="1"/>
  <c r="M59" i="21"/>
  <c r="N59" i="21" s="1"/>
  <c r="K59" i="55" s="1"/>
  <c r="M59" i="55" s="1"/>
  <c r="M67" i="21"/>
  <c r="N67" i="21" s="1"/>
  <c r="K67" i="55" s="1"/>
  <c r="M67" i="55" s="1"/>
  <c r="M75" i="21"/>
  <c r="M83" i="21"/>
  <c r="N83" i="21" s="1"/>
  <c r="K83" i="55" s="1"/>
  <c r="M83" i="55" s="1"/>
  <c r="M91" i="21"/>
  <c r="M99" i="21"/>
  <c r="N99" i="21" s="1"/>
  <c r="K99" i="55" s="1"/>
  <c r="M99" i="55" s="1"/>
  <c r="M107" i="21"/>
  <c r="N107" i="21" s="1"/>
  <c r="K107" i="55" s="1"/>
  <c r="M107" i="55" s="1"/>
  <c r="M115" i="21"/>
  <c r="N115" i="21" s="1"/>
  <c r="K115" i="55" s="1"/>
  <c r="M115" i="55" s="1"/>
  <c r="M123" i="21"/>
  <c r="N123" i="21" s="1"/>
  <c r="K123" i="55" s="1"/>
  <c r="M123" i="55" s="1"/>
  <c r="M131" i="21"/>
  <c r="N131" i="21" s="1"/>
  <c r="K131" i="55" s="1"/>
  <c r="M131" i="55" s="1"/>
  <c r="M139" i="21"/>
  <c r="M147" i="21"/>
  <c r="N147" i="21" s="1"/>
  <c r="K147" i="55" s="1"/>
  <c r="M147" i="55" s="1"/>
  <c r="M155" i="21"/>
  <c r="M163" i="21"/>
  <c r="N163" i="21" s="1"/>
  <c r="K163" i="55" s="1"/>
  <c r="M163" i="55" s="1"/>
  <c r="M171" i="21"/>
  <c r="N171" i="21" s="1"/>
  <c r="K171" i="55" s="1"/>
  <c r="M171" i="55" s="1"/>
  <c r="M179" i="21"/>
  <c r="N179" i="21" s="1"/>
  <c r="K179" i="55" s="1"/>
  <c r="M179" i="55" s="1"/>
  <c r="M187" i="21"/>
  <c r="N187" i="21" s="1"/>
  <c r="K187" i="55" s="1"/>
  <c r="M187" i="55" s="1"/>
  <c r="M195" i="21"/>
  <c r="N195" i="21" s="1"/>
  <c r="K195" i="55" s="1"/>
  <c r="M195" i="55" s="1"/>
  <c r="M203" i="21"/>
  <c r="M211" i="21"/>
  <c r="M219" i="21"/>
  <c r="M227" i="21"/>
  <c r="N227" i="21" s="1"/>
  <c r="K227" i="55" s="1"/>
  <c r="M227" i="55" s="1"/>
  <c r="M235" i="21"/>
  <c r="N235" i="21" s="1"/>
  <c r="K235" i="55" s="1"/>
  <c r="M235" i="55" s="1"/>
  <c r="M243" i="21"/>
  <c r="N243" i="21" s="1"/>
  <c r="K243" i="55" s="1"/>
  <c r="M243" i="55" s="1"/>
  <c r="M251" i="21"/>
  <c r="N251" i="21" s="1"/>
  <c r="K251" i="55" s="1"/>
  <c r="M251" i="55" s="1"/>
  <c r="M259" i="21"/>
  <c r="N259" i="21" s="1"/>
  <c r="K259" i="55" s="1"/>
  <c r="M259" i="55" s="1"/>
  <c r="M267" i="21"/>
  <c r="M275" i="21"/>
  <c r="M283" i="21"/>
  <c r="M291" i="21"/>
  <c r="N291" i="21" s="1"/>
  <c r="K291" i="55" s="1"/>
  <c r="M291" i="55" s="1"/>
  <c r="M299" i="21"/>
  <c r="N299" i="21" s="1"/>
  <c r="K299" i="55" s="1"/>
  <c r="M299" i="55" s="1"/>
  <c r="M307" i="21"/>
  <c r="M216" i="21"/>
  <c r="N216" i="21" s="1"/>
  <c r="K216" i="55" s="1"/>
  <c r="M216" i="55" s="1"/>
  <c r="M256" i="21"/>
  <c r="N256" i="21" s="1"/>
  <c r="K256" i="55" s="1"/>
  <c r="M256" i="55" s="1"/>
  <c r="M296" i="21"/>
  <c r="N296" i="21" s="1"/>
  <c r="K296" i="55" s="1"/>
  <c r="M296" i="55" s="1"/>
  <c r="M12" i="21"/>
  <c r="N12" i="21" s="1"/>
  <c r="K12" i="55" s="1"/>
  <c r="M12" i="55" s="1"/>
  <c r="M20" i="21"/>
  <c r="M28" i="21"/>
  <c r="N28" i="21" s="1"/>
  <c r="K28" i="55" s="1"/>
  <c r="M28" i="55" s="1"/>
  <c r="M36" i="21"/>
  <c r="N36" i="21" s="1"/>
  <c r="K36" i="55" s="1"/>
  <c r="M36" i="55" s="1"/>
  <c r="M44" i="21"/>
  <c r="N44" i="21" s="1"/>
  <c r="K44" i="55" s="1"/>
  <c r="M44" i="55" s="1"/>
  <c r="M52" i="21"/>
  <c r="N52" i="21" s="1"/>
  <c r="K52" i="55" s="1"/>
  <c r="M52" i="55" s="1"/>
  <c r="M60" i="21"/>
  <c r="N60" i="21" s="1"/>
  <c r="K60" i="55" s="1"/>
  <c r="M60" i="55" s="1"/>
  <c r="M68" i="21"/>
  <c r="N68" i="21" s="1"/>
  <c r="K68" i="55" s="1"/>
  <c r="M68" i="55" s="1"/>
  <c r="M76" i="21"/>
  <c r="N76" i="21" s="1"/>
  <c r="K76" i="55" s="1"/>
  <c r="M76" i="55" s="1"/>
  <c r="M84" i="21"/>
  <c r="M92" i="21"/>
  <c r="N92" i="21" s="1"/>
  <c r="K92" i="55" s="1"/>
  <c r="M92" i="55" s="1"/>
  <c r="M100" i="21"/>
  <c r="N100" i="21" s="1"/>
  <c r="K100" i="55" s="1"/>
  <c r="M100" i="55" s="1"/>
  <c r="M108" i="21"/>
  <c r="N108" i="21" s="1"/>
  <c r="K108" i="55" s="1"/>
  <c r="M108" i="55" s="1"/>
  <c r="M116" i="21"/>
  <c r="N116" i="21" s="1"/>
  <c r="K116" i="55" s="1"/>
  <c r="M116" i="55" s="1"/>
  <c r="M124" i="21"/>
  <c r="N124" i="21" s="1"/>
  <c r="K124" i="55" s="1"/>
  <c r="M124" i="55" s="1"/>
  <c r="M132" i="21"/>
  <c r="N132" i="21" s="1"/>
  <c r="K132" i="55" s="1"/>
  <c r="M132" i="55" s="1"/>
  <c r="M140" i="21"/>
  <c r="N140" i="21" s="1"/>
  <c r="K140" i="55" s="1"/>
  <c r="M140" i="55" s="1"/>
  <c r="M148" i="21"/>
  <c r="M156" i="21"/>
  <c r="N156" i="21" s="1"/>
  <c r="K156" i="55" s="1"/>
  <c r="M156" i="55" s="1"/>
  <c r="M164" i="21"/>
  <c r="N164" i="21" s="1"/>
  <c r="K164" i="55" s="1"/>
  <c r="M164" i="55" s="1"/>
  <c r="M172" i="21"/>
  <c r="N172" i="21" s="1"/>
  <c r="K172" i="55" s="1"/>
  <c r="M172" i="55" s="1"/>
  <c r="M180" i="21"/>
  <c r="N180" i="21" s="1"/>
  <c r="K180" i="55" s="1"/>
  <c r="M180" i="55" s="1"/>
  <c r="M188" i="21"/>
  <c r="N188" i="21" s="1"/>
  <c r="K188" i="55" s="1"/>
  <c r="M188" i="55" s="1"/>
  <c r="M196" i="21"/>
  <c r="N196" i="21" s="1"/>
  <c r="K196" i="55" s="1"/>
  <c r="M196" i="55" s="1"/>
  <c r="M204" i="21"/>
  <c r="N204" i="21" s="1"/>
  <c r="K204" i="55" s="1"/>
  <c r="M204" i="55" s="1"/>
  <c r="M212" i="21"/>
  <c r="M220" i="21"/>
  <c r="N220" i="21" s="1"/>
  <c r="K220" i="55" s="1"/>
  <c r="M220" i="55" s="1"/>
  <c r="M228" i="21"/>
  <c r="N228" i="21" s="1"/>
  <c r="K228" i="55" s="1"/>
  <c r="M228" i="55" s="1"/>
  <c r="M236" i="21"/>
  <c r="N236" i="21" s="1"/>
  <c r="K236" i="55" s="1"/>
  <c r="M236" i="55" s="1"/>
  <c r="M244" i="21"/>
  <c r="N244" i="21" s="1"/>
  <c r="K244" i="55" s="1"/>
  <c r="M244" i="55" s="1"/>
  <c r="M252" i="21"/>
  <c r="N252" i="21" s="1"/>
  <c r="K252" i="55" s="1"/>
  <c r="M252" i="55" s="1"/>
  <c r="M260" i="21"/>
  <c r="N260" i="21" s="1"/>
  <c r="K260" i="55" s="1"/>
  <c r="M260" i="55" s="1"/>
  <c r="M268" i="21"/>
  <c r="N268" i="21" s="1"/>
  <c r="K268" i="55" s="1"/>
  <c r="M268" i="55" s="1"/>
  <c r="M276" i="21"/>
  <c r="M284" i="21"/>
  <c r="N284" i="21" s="1"/>
  <c r="K284" i="55" s="1"/>
  <c r="M284" i="55" s="1"/>
  <c r="M292" i="21"/>
  <c r="N292" i="21" s="1"/>
  <c r="K292" i="55" s="1"/>
  <c r="M292" i="55" s="1"/>
  <c r="M300" i="21"/>
  <c r="N300" i="21" s="1"/>
  <c r="K300" i="55" s="1"/>
  <c r="M300" i="55" s="1"/>
  <c r="M8" i="21"/>
  <c r="M208" i="21"/>
  <c r="N208" i="21" s="1"/>
  <c r="K208" i="55" s="1"/>
  <c r="M208" i="55" s="1"/>
  <c r="M280" i="21"/>
  <c r="N280" i="21" s="1"/>
  <c r="K280" i="55" s="1"/>
  <c r="M280" i="55" s="1"/>
  <c r="M13" i="21"/>
  <c r="N13" i="21" s="1"/>
  <c r="K13" i="55" s="1"/>
  <c r="M13" i="55" s="1"/>
  <c r="M21" i="21"/>
  <c r="M29" i="21"/>
  <c r="N29" i="21" s="1"/>
  <c r="K29" i="55" s="1"/>
  <c r="M29" i="55" s="1"/>
  <c r="M37" i="21"/>
  <c r="N37" i="21" s="1"/>
  <c r="K37" i="55" s="1"/>
  <c r="M37" i="55" s="1"/>
  <c r="M45" i="21"/>
  <c r="N45" i="21" s="1"/>
  <c r="K45" i="55" s="1"/>
  <c r="M45" i="55" s="1"/>
  <c r="M53" i="21"/>
  <c r="N53" i="21" s="1"/>
  <c r="K53" i="55" s="1"/>
  <c r="M53" i="55" s="1"/>
  <c r="M61" i="21"/>
  <c r="N61" i="21" s="1"/>
  <c r="K61" i="55" s="1"/>
  <c r="M61" i="55" s="1"/>
  <c r="M69" i="21"/>
  <c r="N69" i="21" s="1"/>
  <c r="K69" i="55" s="1"/>
  <c r="M69" i="55" s="1"/>
  <c r="M77" i="21"/>
  <c r="N77" i="21" s="1"/>
  <c r="K77" i="55" s="1"/>
  <c r="M77" i="55" s="1"/>
  <c r="M85" i="21"/>
  <c r="M93" i="21"/>
  <c r="N93" i="21" s="1"/>
  <c r="K93" i="55" s="1"/>
  <c r="M93" i="55" s="1"/>
  <c r="M101" i="21"/>
  <c r="N101" i="21" s="1"/>
  <c r="K101" i="55" s="1"/>
  <c r="M101" i="55" s="1"/>
  <c r="M109" i="21"/>
  <c r="N109" i="21" s="1"/>
  <c r="K109" i="55" s="1"/>
  <c r="M109" i="55" s="1"/>
  <c r="M117" i="21"/>
  <c r="N117" i="21" s="1"/>
  <c r="K117" i="55" s="1"/>
  <c r="M117" i="55" s="1"/>
  <c r="M125" i="21"/>
  <c r="N125" i="21" s="1"/>
  <c r="K125" i="55" s="1"/>
  <c r="M125" i="55" s="1"/>
  <c r="M133" i="21"/>
  <c r="N133" i="21" s="1"/>
  <c r="K133" i="55" s="1"/>
  <c r="M133" i="55" s="1"/>
  <c r="M141" i="21"/>
  <c r="N141" i="21" s="1"/>
  <c r="K141" i="55" s="1"/>
  <c r="M141" i="55" s="1"/>
  <c r="M149" i="21"/>
  <c r="M157" i="21"/>
  <c r="N157" i="21" s="1"/>
  <c r="K157" i="55" s="1"/>
  <c r="M157" i="55" s="1"/>
  <c r="M165" i="21"/>
  <c r="N165" i="21" s="1"/>
  <c r="K165" i="55" s="1"/>
  <c r="M165" i="55" s="1"/>
  <c r="M173" i="21"/>
  <c r="N173" i="21" s="1"/>
  <c r="K173" i="55" s="1"/>
  <c r="M173" i="55" s="1"/>
  <c r="M181" i="21"/>
  <c r="N181" i="21" s="1"/>
  <c r="K181" i="55" s="1"/>
  <c r="M181" i="55" s="1"/>
  <c r="M189" i="21"/>
  <c r="N189" i="21" s="1"/>
  <c r="K189" i="55" s="1"/>
  <c r="M189" i="55" s="1"/>
  <c r="M197" i="21"/>
  <c r="N197" i="21" s="1"/>
  <c r="K197" i="55" s="1"/>
  <c r="M197" i="55" s="1"/>
  <c r="M205" i="21"/>
  <c r="N205" i="21" s="1"/>
  <c r="K205" i="55" s="1"/>
  <c r="M205" i="55" s="1"/>
  <c r="M213" i="21"/>
  <c r="M221" i="21"/>
  <c r="N221" i="21" s="1"/>
  <c r="K221" i="55" s="1"/>
  <c r="M221" i="55" s="1"/>
  <c r="M229" i="21"/>
  <c r="N229" i="21" s="1"/>
  <c r="K229" i="55" s="1"/>
  <c r="M229" i="55" s="1"/>
  <c r="M237" i="21"/>
  <c r="N237" i="21" s="1"/>
  <c r="K237" i="55" s="1"/>
  <c r="M237" i="55" s="1"/>
  <c r="M245" i="21"/>
  <c r="N245" i="21" s="1"/>
  <c r="K245" i="55" s="1"/>
  <c r="M245" i="55" s="1"/>
  <c r="M253" i="21"/>
  <c r="M261" i="21"/>
  <c r="N261" i="21" s="1"/>
  <c r="K261" i="55" s="1"/>
  <c r="M261" i="55" s="1"/>
  <c r="M269" i="21"/>
  <c r="N269" i="21" s="1"/>
  <c r="K269" i="55" s="1"/>
  <c r="M269" i="55" s="1"/>
  <c r="M277" i="21"/>
  <c r="M285" i="21"/>
  <c r="N285" i="21" s="1"/>
  <c r="K285" i="55" s="1"/>
  <c r="M285" i="55" s="1"/>
  <c r="M293" i="21"/>
  <c r="N293" i="21" s="1"/>
  <c r="K293" i="55" s="1"/>
  <c r="M293" i="55" s="1"/>
  <c r="M301" i="21"/>
  <c r="N301" i="21" s="1"/>
  <c r="K301" i="55" s="1"/>
  <c r="M301" i="55" s="1"/>
  <c r="M14" i="21"/>
  <c r="N14" i="21" s="1"/>
  <c r="K14" i="55" s="1"/>
  <c r="M14" i="55" s="1"/>
  <c r="M22" i="21"/>
  <c r="N22" i="21" s="1"/>
  <c r="K22" i="55" s="1"/>
  <c r="M22" i="55" s="1"/>
  <c r="M30" i="21"/>
  <c r="N30" i="21" s="1"/>
  <c r="K30" i="55" s="1"/>
  <c r="M30" i="55" s="1"/>
  <c r="M38" i="21"/>
  <c r="N38" i="21" s="1"/>
  <c r="K38" i="55" s="1"/>
  <c r="M38" i="55" s="1"/>
  <c r="M46" i="21"/>
  <c r="M54" i="21"/>
  <c r="N54" i="21" s="1"/>
  <c r="K54" i="55" s="1"/>
  <c r="M54" i="55" s="1"/>
  <c r="M62" i="21"/>
  <c r="N62" i="21" s="1"/>
  <c r="K62" i="55" s="1"/>
  <c r="M62" i="55" s="1"/>
  <c r="M70" i="21"/>
  <c r="N70" i="21" s="1"/>
  <c r="K70" i="55" s="1"/>
  <c r="M70" i="55" s="1"/>
  <c r="M78" i="21"/>
  <c r="N78" i="21" s="1"/>
  <c r="K78" i="55" s="1"/>
  <c r="M78" i="55" s="1"/>
  <c r="M86" i="21"/>
  <c r="N86" i="21" s="1"/>
  <c r="K86" i="55" s="1"/>
  <c r="M86" i="55" s="1"/>
  <c r="M94" i="21"/>
  <c r="N94" i="21" s="1"/>
  <c r="K94" i="55" s="1"/>
  <c r="M94" i="55" s="1"/>
  <c r="M102" i="21"/>
  <c r="N102" i="21" s="1"/>
  <c r="K102" i="55" s="1"/>
  <c r="M102" i="55" s="1"/>
  <c r="M110" i="21"/>
  <c r="M118" i="21"/>
  <c r="N118" i="21" s="1"/>
  <c r="K118" i="55" s="1"/>
  <c r="M126" i="21"/>
  <c r="N126" i="21" s="1"/>
  <c r="K126" i="55" s="1"/>
  <c r="M126" i="55" s="1"/>
  <c r="M134" i="21"/>
  <c r="N134" i="21" s="1"/>
  <c r="K134" i="55" s="1"/>
  <c r="M134" i="55" s="1"/>
  <c r="M142" i="21"/>
  <c r="N142" i="21" s="1"/>
  <c r="K142" i="55" s="1"/>
  <c r="M142" i="55" s="1"/>
  <c r="M150" i="21"/>
  <c r="N150" i="21" s="1"/>
  <c r="K150" i="55" s="1"/>
  <c r="M150" i="55" s="1"/>
  <c r="M158" i="21"/>
  <c r="N158" i="21" s="1"/>
  <c r="K158" i="55" s="1"/>
  <c r="M158" i="55" s="1"/>
  <c r="M166" i="21"/>
  <c r="N166" i="21" s="1"/>
  <c r="K166" i="55" s="1"/>
  <c r="M174" i="21"/>
  <c r="M182" i="21"/>
  <c r="N182" i="21" s="1"/>
  <c r="K182" i="55" s="1"/>
  <c r="M182" i="55" s="1"/>
  <c r="M190" i="21"/>
  <c r="N190" i="21" s="1"/>
  <c r="K190" i="55" s="1"/>
  <c r="M190" i="55" s="1"/>
  <c r="M198" i="21"/>
  <c r="N198" i="21" s="1"/>
  <c r="K198" i="55" s="1"/>
  <c r="M198" i="55" s="1"/>
  <c r="M206" i="21"/>
  <c r="N206" i="21" s="1"/>
  <c r="K206" i="55" s="1"/>
  <c r="M206" i="55" s="1"/>
  <c r="M214" i="21"/>
  <c r="N214" i="21" s="1"/>
  <c r="K214" i="55" s="1"/>
  <c r="M214" i="55" s="1"/>
  <c r="M222" i="21"/>
  <c r="N222" i="21" s="1"/>
  <c r="K222" i="55" s="1"/>
  <c r="M222" i="55" s="1"/>
  <c r="M230" i="21"/>
  <c r="N230" i="21" s="1"/>
  <c r="K230" i="55" s="1"/>
  <c r="M230" i="55" s="1"/>
  <c r="M238" i="21"/>
  <c r="M246" i="21"/>
  <c r="N246" i="21" s="1"/>
  <c r="K246" i="55" s="1"/>
  <c r="M246" i="55" s="1"/>
  <c r="M254" i="21"/>
  <c r="N254" i="21" s="1"/>
  <c r="K254" i="55" s="1"/>
  <c r="M254" i="55" s="1"/>
  <c r="M262" i="21"/>
  <c r="N262" i="21" s="1"/>
  <c r="K262" i="55" s="1"/>
  <c r="M262" i="55" s="1"/>
  <c r="M270" i="21"/>
  <c r="N270" i="21" s="1"/>
  <c r="K270" i="55" s="1"/>
  <c r="M270" i="55" s="1"/>
  <c r="N278" i="21"/>
  <c r="K278" i="55" s="1"/>
  <c r="M278" i="55" s="1"/>
  <c r="M286" i="21"/>
  <c r="N286" i="21" s="1"/>
  <c r="K286" i="55" s="1"/>
  <c r="M286" i="55" s="1"/>
  <c r="M294" i="21"/>
  <c r="N294" i="21" s="1"/>
  <c r="K294" i="55" s="1"/>
  <c r="M294" i="55" s="1"/>
  <c r="M302" i="21"/>
  <c r="M15" i="21"/>
  <c r="N15" i="21" s="1"/>
  <c r="K15" i="55" s="1"/>
  <c r="M15" i="55" s="1"/>
  <c r="M23" i="21"/>
  <c r="N23" i="21" s="1"/>
  <c r="K23" i="55" s="1"/>
  <c r="M23" i="55" s="1"/>
  <c r="M31" i="21"/>
  <c r="N31" i="21" s="1"/>
  <c r="K31" i="55" s="1"/>
  <c r="M31" i="55" s="1"/>
  <c r="M39" i="21"/>
  <c r="N39" i="21" s="1"/>
  <c r="K39" i="55" s="1"/>
  <c r="M39" i="55" s="1"/>
  <c r="M47" i="21"/>
  <c r="N47" i="21" s="1"/>
  <c r="K47" i="55" s="1"/>
  <c r="M47" i="55" s="1"/>
  <c r="M55" i="21"/>
  <c r="N55" i="21" s="1"/>
  <c r="K55" i="55" s="1"/>
  <c r="M55" i="55" s="1"/>
  <c r="M63" i="21"/>
  <c r="N63" i="21" s="1"/>
  <c r="K63" i="55" s="1"/>
  <c r="M63" i="55" s="1"/>
  <c r="M71" i="21"/>
  <c r="M79" i="21"/>
  <c r="N79" i="21" s="1"/>
  <c r="K79" i="55" s="1"/>
  <c r="M79" i="55" s="1"/>
  <c r="M87" i="21"/>
  <c r="N87" i="21" s="1"/>
  <c r="K87" i="55" s="1"/>
  <c r="M87" i="55" s="1"/>
  <c r="M95" i="21"/>
  <c r="N95" i="21" s="1"/>
  <c r="K95" i="55" s="1"/>
  <c r="M95" i="55" s="1"/>
  <c r="M103" i="21"/>
  <c r="N103" i="21" s="1"/>
  <c r="K103" i="55" s="1"/>
  <c r="M103" i="55" s="1"/>
  <c r="M111" i="21"/>
  <c r="N111" i="21" s="1"/>
  <c r="K111" i="55" s="1"/>
  <c r="M111" i="55" s="1"/>
  <c r="M119" i="21"/>
  <c r="N119" i="21" s="1"/>
  <c r="K119" i="55" s="1"/>
  <c r="M119" i="55" s="1"/>
  <c r="M127" i="21"/>
  <c r="N127" i="21" s="1"/>
  <c r="K127" i="55" s="1"/>
  <c r="M127" i="55" s="1"/>
  <c r="M135" i="21"/>
  <c r="N135" i="21" s="1"/>
  <c r="K135" i="55" s="1"/>
  <c r="M135" i="55" s="1"/>
  <c r="M143" i="21"/>
  <c r="N143" i="21" s="1"/>
  <c r="K143" i="55" s="1"/>
  <c r="M143" i="55" s="1"/>
  <c r="M151" i="21"/>
  <c r="N151" i="21" s="1"/>
  <c r="K151" i="55" s="1"/>
  <c r="M151" i="55" s="1"/>
  <c r="M159" i="21"/>
  <c r="N159" i="21" s="1"/>
  <c r="K159" i="55" s="1"/>
  <c r="M159" i="55" s="1"/>
  <c r="M167" i="21"/>
  <c r="N167" i="21" s="1"/>
  <c r="K167" i="55" s="1"/>
  <c r="M167" i="55" s="1"/>
  <c r="M175" i="21"/>
  <c r="N175" i="21" s="1"/>
  <c r="K175" i="55" s="1"/>
  <c r="M175" i="55" s="1"/>
  <c r="M183" i="21"/>
  <c r="N183" i="21" s="1"/>
  <c r="K183" i="55" s="1"/>
  <c r="M183" i="55" s="1"/>
  <c r="M191" i="21"/>
  <c r="N191" i="21" s="1"/>
  <c r="K191" i="55" s="1"/>
  <c r="M191" i="55" s="1"/>
  <c r="M199" i="21"/>
  <c r="N199" i="21" s="1"/>
  <c r="K199" i="55" s="1"/>
  <c r="M199" i="55" s="1"/>
  <c r="M207" i="21"/>
  <c r="N207" i="21" s="1"/>
  <c r="K207" i="55" s="1"/>
  <c r="M207" i="55" s="1"/>
  <c r="M215" i="21"/>
  <c r="N215" i="21" s="1"/>
  <c r="K215" i="55" s="1"/>
  <c r="M215" i="55" s="1"/>
  <c r="M223" i="21"/>
  <c r="N223" i="21" s="1"/>
  <c r="K223" i="55" s="1"/>
  <c r="M223" i="55" s="1"/>
  <c r="M231" i="21"/>
  <c r="N231" i="21" s="1"/>
  <c r="K231" i="55" s="1"/>
  <c r="M231" i="55" s="1"/>
  <c r="M239" i="21"/>
  <c r="N239" i="21" s="1"/>
  <c r="K239" i="55" s="1"/>
  <c r="M239" i="55" s="1"/>
  <c r="M247" i="21"/>
  <c r="N247" i="21" s="1"/>
  <c r="K247" i="55" s="1"/>
  <c r="M247" i="55" s="1"/>
  <c r="M255" i="21"/>
  <c r="N255" i="21" s="1"/>
  <c r="K255" i="55" s="1"/>
  <c r="M255" i="55" s="1"/>
  <c r="M263" i="21"/>
  <c r="M271" i="21"/>
  <c r="N271" i="21" s="1"/>
  <c r="K271" i="55" s="1"/>
  <c r="M271" i="55" s="1"/>
  <c r="M279" i="21"/>
  <c r="N279" i="21" s="1"/>
  <c r="K279" i="55" s="1"/>
  <c r="M279" i="55" s="1"/>
  <c r="M287" i="21"/>
  <c r="N287" i="21" s="1"/>
  <c r="K287" i="55" s="1"/>
  <c r="M287" i="55" s="1"/>
  <c r="M295" i="21"/>
  <c r="N295" i="21" s="1"/>
  <c r="K295" i="55" s="1"/>
  <c r="M295" i="55" s="1"/>
  <c r="M303" i="21"/>
  <c r="N303" i="21" s="1"/>
  <c r="K303" i="55" s="1"/>
  <c r="M303" i="55" s="1"/>
  <c r="M192" i="21"/>
  <c r="N192" i="21" s="1"/>
  <c r="K192" i="55" s="1"/>
  <c r="M192" i="55" s="1"/>
  <c r="M232" i="21"/>
  <c r="N232" i="21" s="1"/>
  <c r="K232" i="55" s="1"/>
  <c r="M232" i="55" s="1"/>
  <c r="M264" i="21"/>
  <c r="N264" i="21" s="1"/>
  <c r="K264" i="55" s="1"/>
  <c r="M264" i="55" s="1"/>
  <c r="M288" i="21"/>
  <c r="N288" i="21" s="1"/>
  <c r="K288" i="55" s="1"/>
  <c r="M288" i="55" s="1"/>
  <c r="M16" i="21"/>
  <c r="N16" i="21" s="1"/>
  <c r="K16" i="55" s="1"/>
  <c r="M16" i="55" s="1"/>
  <c r="M24" i="21"/>
  <c r="N24" i="21" s="1"/>
  <c r="K24" i="55" s="1"/>
  <c r="M24" i="55" s="1"/>
  <c r="M32" i="21"/>
  <c r="N32" i="21" s="1"/>
  <c r="K32" i="55" s="1"/>
  <c r="M32" i="55" s="1"/>
  <c r="M40" i="21"/>
  <c r="N40" i="21" s="1"/>
  <c r="K40" i="55" s="1"/>
  <c r="M40" i="55" s="1"/>
  <c r="M48" i="21"/>
  <c r="N48" i="21" s="1"/>
  <c r="K48" i="55" s="1"/>
  <c r="M48" i="55" s="1"/>
  <c r="M56" i="21"/>
  <c r="N56" i="21" s="1"/>
  <c r="K56" i="55" s="1"/>
  <c r="M56" i="55" s="1"/>
  <c r="M64" i="21"/>
  <c r="M72" i="21"/>
  <c r="N72" i="21" s="1"/>
  <c r="K72" i="55" s="1"/>
  <c r="M72" i="55" s="1"/>
  <c r="M80" i="21"/>
  <c r="N80" i="21" s="1"/>
  <c r="K80" i="55" s="1"/>
  <c r="M80" i="55" s="1"/>
  <c r="M88" i="21"/>
  <c r="N88" i="21" s="1"/>
  <c r="K88" i="55" s="1"/>
  <c r="M88" i="55" s="1"/>
  <c r="M96" i="21"/>
  <c r="N96" i="21" s="1"/>
  <c r="K96" i="55" s="1"/>
  <c r="M96" i="55" s="1"/>
  <c r="M104" i="21"/>
  <c r="N104" i="21" s="1"/>
  <c r="K104" i="55" s="1"/>
  <c r="M104" i="55" s="1"/>
  <c r="M112" i="21"/>
  <c r="N112" i="21" s="1"/>
  <c r="K112" i="55" s="1"/>
  <c r="M112" i="55" s="1"/>
  <c r="M120" i="21"/>
  <c r="N120" i="21" s="1"/>
  <c r="K120" i="55" s="1"/>
  <c r="M120" i="55" s="1"/>
  <c r="M128" i="21"/>
  <c r="M136" i="21"/>
  <c r="N136" i="21" s="1"/>
  <c r="K136" i="55" s="1"/>
  <c r="M136" i="55" s="1"/>
  <c r="M144" i="21"/>
  <c r="N144" i="21" s="1"/>
  <c r="K144" i="55" s="1"/>
  <c r="M144" i="55" s="1"/>
  <c r="M152" i="21"/>
  <c r="N152" i="21" s="1"/>
  <c r="K152" i="55" s="1"/>
  <c r="M152" i="55" s="1"/>
  <c r="M160" i="21"/>
  <c r="N160" i="21" s="1"/>
  <c r="K160" i="55" s="1"/>
  <c r="M160" i="55" s="1"/>
  <c r="M168" i="21"/>
  <c r="N168" i="21" s="1"/>
  <c r="K168" i="55" s="1"/>
  <c r="M168" i="55" s="1"/>
  <c r="M176" i="21"/>
  <c r="N176" i="21" s="1"/>
  <c r="K176" i="55" s="1"/>
  <c r="M176" i="55" s="1"/>
  <c r="M184" i="21"/>
  <c r="N184" i="21" s="1"/>
  <c r="K184" i="55" s="1"/>
  <c r="M184" i="55" s="1"/>
  <c r="M200" i="21"/>
  <c r="N200" i="21" s="1"/>
  <c r="K200" i="55" s="1"/>
  <c r="M200" i="55" s="1"/>
  <c r="M224" i="21"/>
  <c r="N224" i="21" s="1"/>
  <c r="K224" i="55" s="1"/>
  <c r="M224" i="55" s="1"/>
  <c r="M240" i="21"/>
  <c r="N240" i="21" s="1"/>
  <c r="K240" i="55" s="1"/>
  <c r="M240" i="55" s="1"/>
  <c r="M248" i="21"/>
  <c r="N248" i="21" s="1"/>
  <c r="K248" i="55" s="1"/>
  <c r="M248" i="55" s="1"/>
  <c r="M272" i="21"/>
  <c r="N272" i="21" s="1"/>
  <c r="K272" i="55" s="1"/>
  <c r="M272" i="55" s="1"/>
  <c r="M304" i="21"/>
  <c r="N304" i="21" s="1"/>
  <c r="K304" i="55" s="1"/>
  <c r="M304" i="55" s="1"/>
  <c r="M9" i="21"/>
  <c r="N9" i="21" s="1"/>
  <c r="K9" i="55" s="1"/>
  <c r="M9" i="55" s="1"/>
  <c r="M17" i="21"/>
  <c r="N17" i="21" s="1"/>
  <c r="K17" i="55" s="1"/>
  <c r="M17" i="55" s="1"/>
  <c r="M25" i="21"/>
  <c r="N25" i="21" s="1"/>
  <c r="K25" i="55" s="1"/>
  <c r="M25" i="55" s="1"/>
  <c r="M33" i="21"/>
  <c r="N33" i="21" s="1"/>
  <c r="K33" i="55" s="1"/>
  <c r="M33" i="55" s="1"/>
  <c r="M41" i="21"/>
  <c r="N41" i="21" s="1"/>
  <c r="K41" i="55" s="1"/>
  <c r="M41" i="55" s="1"/>
  <c r="M49" i="21"/>
  <c r="N49" i="21" s="1"/>
  <c r="K49" i="55" s="1"/>
  <c r="M49" i="55" s="1"/>
  <c r="M57" i="21"/>
  <c r="N57" i="21" s="1"/>
  <c r="K57" i="55" s="1"/>
  <c r="M57" i="55" s="1"/>
  <c r="M65" i="21"/>
  <c r="N65" i="21" s="1"/>
  <c r="K65" i="55" s="1"/>
  <c r="M65" i="55" s="1"/>
  <c r="M73" i="21"/>
  <c r="N73" i="21" s="1"/>
  <c r="K73" i="55" s="1"/>
  <c r="M73" i="55" s="1"/>
  <c r="M81" i="21"/>
  <c r="N81" i="21" s="1"/>
  <c r="K81" i="55" s="1"/>
  <c r="M81" i="55" s="1"/>
  <c r="M89" i="21"/>
  <c r="N89" i="21" s="1"/>
  <c r="K89" i="55" s="1"/>
  <c r="M89" i="55" s="1"/>
  <c r="M97" i="21"/>
  <c r="N97" i="21" s="1"/>
  <c r="K97" i="55" s="1"/>
  <c r="M97" i="55" s="1"/>
  <c r="M105" i="21"/>
  <c r="N105" i="21" s="1"/>
  <c r="K105" i="55" s="1"/>
  <c r="M105" i="55" s="1"/>
  <c r="M113" i="21"/>
  <c r="M121" i="21"/>
  <c r="N121" i="21" s="1"/>
  <c r="K121" i="55" s="1"/>
  <c r="M121" i="55" s="1"/>
  <c r="M129" i="21"/>
  <c r="N129" i="21" s="1"/>
  <c r="K129" i="55" s="1"/>
  <c r="M129" i="55" s="1"/>
  <c r="M137" i="21"/>
  <c r="N137" i="21" s="1"/>
  <c r="K137" i="55" s="1"/>
  <c r="M137" i="55" s="1"/>
  <c r="M145" i="21"/>
  <c r="N145" i="21" s="1"/>
  <c r="K145" i="55" s="1"/>
  <c r="M145" i="55" s="1"/>
  <c r="M153" i="21"/>
  <c r="N153" i="21" s="1"/>
  <c r="K153" i="55" s="1"/>
  <c r="M153" i="55" s="1"/>
  <c r="M161" i="21"/>
  <c r="N161" i="21" s="1"/>
  <c r="K161" i="55" s="1"/>
  <c r="M161" i="55" s="1"/>
  <c r="M169" i="21"/>
  <c r="N169" i="21" s="1"/>
  <c r="K169" i="55" s="1"/>
  <c r="M169" i="55" s="1"/>
  <c r="M177" i="21"/>
  <c r="N177" i="21" s="1"/>
  <c r="K177" i="55" s="1"/>
  <c r="M177" i="55" s="1"/>
  <c r="M185" i="21"/>
  <c r="N185" i="21" s="1"/>
  <c r="K185" i="55" s="1"/>
  <c r="M185" i="55" s="1"/>
  <c r="M193" i="21"/>
  <c r="N193" i="21" s="1"/>
  <c r="K193" i="55" s="1"/>
  <c r="M193" i="55" s="1"/>
  <c r="M201" i="21"/>
  <c r="N201" i="21" s="1"/>
  <c r="K201" i="55" s="1"/>
  <c r="M201" i="55" s="1"/>
  <c r="M209" i="21"/>
  <c r="N209" i="21" s="1"/>
  <c r="K209" i="55" s="1"/>
  <c r="M209" i="55" s="1"/>
  <c r="M217" i="21"/>
  <c r="N217" i="21" s="1"/>
  <c r="K217" i="55" s="1"/>
  <c r="M217" i="55" s="1"/>
  <c r="M225" i="21"/>
  <c r="N225" i="21" s="1"/>
  <c r="K225" i="55" s="1"/>
  <c r="M225" i="55" s="1"/>
  <c r="M233" i="21"/>
  <c r="N233" i="21" s="1"/>
  <c r="K233" i="55" s="1"/>
  <c r="M233" i="55" s="1"/>
  <c r="M241" i="21"/>
  <c r="N241" i="21" s="1"/>
  <c r="K241" i="55" s="1"/>
  <c r="M241" i="55" s="1"/>
  <c r="M249" i="21"/>
  <c r="N249" i="21" s="1"/>
  <c r="K249" i="55" s="1"/>
  <c r="M249" i="55" s="1"/>
  <c r="M257" i="21"/>
  <c r="N257" i="21" s="1"/>
  <c r="K257" i="55" s="1"/>
  <c r="M257" i="55" s="1"/>
  <c r="M265" i="21"/>
  <c r="N265" i="21" s="1"/>
  <c r="K265" i="55" s="1"/>
  <c r="M265" i="55" s="1"/>
  <c r="M273" i="21"/>
  <c r="N273" i="21" s="1"/>
  <c r="K273" i="55" s="1"/>
  <c r="M273" i="55" s="1"/>
  <c r="M281" i="21"/>
  <c r="N281" i="21" s="1"/>
  <c r="K281" i="55" s="1"/>
  <c r="M281" i="55" s="1"/>
  <c r="M289" i="21"/>
  <c r="N289" i="21" s="1"/>
  <c r="K289" i="55" s="1"/>
  <c r="M289" i="55" s="1"/>
  <c r="M297" i="21"/>
  <c r="N297" i="21" s="1"/>
  <c r="K297" i="55" s="1"/>
  <c r="M297" i="55" s="1"/>
  <c r="M305" i="21"/>
  <c r="N305" i="21" s="1"/>
  <c r="K305" i="55" s="1"/>
  <c r="M305" i="55" s="1"/>
  <c r="M66" i="21"/>
  <c r="N66" i="21" s="1"/>
  <c r="K66" i="55" s="1"/>
  <c r="M66" i="55" s="1"/>
  <c r="M130" i="21"/>
  <c r="N130" i="21" s="1"/>
  <c r="K130" i="55" s="1"/>
  <c r="M130" i="55" s="1"/>
  <c r="M194" i="21"/>
  <c r="N194" i="21" s="1"/>
  <c r="K194" i="55" s="1"/>
  <c r="M194" i="55" s="1"/>
  <c r="M258" i="21"/>
  <c r="N258" i="21" s="1"/>
  <c r="K258" i="55" s="1"/>
  <c r="M258" i="55" s="1"/>
  <c r="M74" i="21"/>
  <c r="N74" i="21" s="1"/>
  <c r="K74" i="55" s="1"/>
  <c r="M74" i="55" s="1"/>
  <c r="M138" i="21"/>
  <c r="N138" i="21" s="1"/>
  <c r="K138" i="55" s="1"/>
  <c r="M138" i="55" s="1"/>
  <c r="M266" i="21"/>
  <c r="N266" i="21" s="1"/>
  <c r="K266" i="55" s="1"/>
  <c r="M266" i="55" s="1"/>
  <c r="M154" i="21"/>
  <c r="N154" i="21" s="1"/>
  <c r="K154" i="55" s="1"/>
  <c r="M154" i="55" s="1"/>
  <c r="M282" i="21"/>
  <c r="N282" i="21" s="1"/>
  <c r="K282" i="55" s="1"/>
  <c r="M282" i="55" s="1"/>
  <c r="M226" i="21"/>
  <c r="N226" i="21" s="1"/>
  <c r="K226" i="55" s="1"/>
  <c r="M226" i="55" s="1"/>
  <c r="M42" i="21"/>
  <c r="N42" i="21" s="1"/>
  <c r="K42" i="55" s="1"/>
  <c r="M42" i="55" s="1"/>
  <c r="M234" i="21"/>
  <c r="N234" i="21" s="1"/>
  <c r="K234" i="55" s="1"/>
  <c r="M234" i="55" s="1"/>
  <c r="M242" i="21"/>
  <c r="N242" i="21" s="1"/>
  <c r="K242" i="55" s="1"/>
  <c r="M242" i="55" s="1"/>
  <c r="M122" i="21"/>
  <c r="N122" i="21" s="1"/>
  <c r="K122" i="55" s="1"/>
  <c r="M122" i="55" s="1"/>
  <c r="M186" i="21"/>
  <c r="N186" i="21" s="1"/>
  <c r="K186" i="55" s="1"/>
  <c r="M186" i="55" s="1"/>
  <c r="M10" i="21"/>
  <c r="N10" i="21" s="1"/>
  <c r="K10" i="55" s="1"/>
  <c r="M10" i="55" s="1"/>
  <c r="M202" i="21"/>
  <c r="N202" i="21" s="1"/>
  <c r="K202" i="55" s="1"/>
  <c r="M202" i="55" s="1"/>
  <c r="M34" i="21"/>
  <c r="N34" i="21" s="1"/>
  <c r="K34" i="55" s="1"/>
  <c r="M34" i="55" s="1"/>
  <c r="M290" i="21"/>
  <c r="N290" i="21" s="1"/>
  <c r="K290" i="55" s="1"/>
  <c r="M290" i="55" s="1"/>
  <c r="M106" i="21"/>
  <c r="N106" i="21" s="1"/>
  <c r="K106" i="55" s="1"/>
  <c r="M106" i="55" s="1"/>
  <c r="M114" i="21"/>
  <c r="M18" i="21"/>
  <c r="N18" i="21" s="1"/>
  <c r="K18" i="55" s="1"/>
  <c r="M18" i="55" s="1"/>
  <c r="M82" i="21"/>
  <c r="N82" i="21" s="1"/>
  <c r="K82" i="55" s="1"/>
  <c r="M82" i="55" s="1"/>
  <c r="M146" i="21"/>
  <c r="N146" i="21" s="1"/>
  <c r="K146" i="55" s="1"/>
  <c r="M146" i="55" s="1"/>
  <c r="M210" i="21"/>
  <c r="N210" i="21" s="1"/>
  <c r="K210" i="55" s="1"/>
  <c r="M210" i="55" s="1"/>
  <c r="M274" i="21"/>
  <c r="N274" i="21" s="1"/>
  <c r="K274" i="55" s="1"/>
  <c r="M274" i="55" s="1"/>
  <c r="M26" i="21"/>
  <c r="N26" i="21" s="1"/>
  <c r="K26" i="55" s="1"/>
  <c r="M26" i="55" s="1"/>
  <c r="M218" i="21"/>
  <c r="N218" i="21" s="1"/>
  <c r="K218" i="55" s="1"/>
  <c r="M218" i="55" s="1"/>
  <c r="M162" i="21"/>
  <c r="N162" i="21" s="1"/>
  <c r="K162" i="55" s="1"/>
  <c r="M162" i="55" s="1"/>
  <c r="M170" i="21"/>
  <c r="N170" i="21" s="1"/>
  <c r="K170" i="55" s="1"/>
  <c r="M170" i="55" s="1"/>
  <c r="M50" i="21"/>
  <c r="N50" i="21" s="1"/>
  <c r="K50" i="55" s="1"/>
  <c r="M50" i="55" s="1"/>
  <c r="M306" i="21"/>
  <c r="N306" i="21" s="1"/>
  <c r="K306" i="55" s="1"/>
  <c r="M306" i="55" s="1"/>
  <c r="M250" i="21"/>
  <c r="N250" i="21" s="1"/>
  <c r="K250" i="55" s="1"/>
  <c r="M250" i="55" s="1"/>
  <c r="M90" i="21"/>
  <c r="N90" i="21" s="1"/>
  <c r="K90" i="55" s="1"/>
  <c r="M90" i="55" s="1"/>
  <c r="M98" i="21"/>
  <c r="N98" i="21" s="1"/>
  <c r="K98" i="55" s="1"/>
  <c r="M98" i="55" s="1"/>
  <c r="M298" i="21"/>
  <c r="N298" i="21" s="1"/>
  <c r="K298" i="55" s="1"/>
  <c r="M298" i="55" s="1"/>
  <c r="M178" i="21"/>
  <c r="N178" i="21" s="1"/>
  <c r="K178" i="55" s="1"/>
  <c r="M178" i="55" s="1"/>
  <c r="M58" i="21"/>
  <c r="N58" i="21" s="1"/>
  <c r="K58" i="55" s="1"/>
  <c r="M58" i="55" s="1"/>
  <c r="N20" i="21"/>
  <c r="K20" i="55" s="1"/>
  <c r="M20" i="55" s="1"/>
  <c r="N71" i="21"/>
  <c r="K71" i="55" s="1"/>
  <c r="M71" i="55" s="1"/>
  <c r="N21" i="21"/>
  <c r="K21" i="55" s="1"/>
  <c r="M21" i="55" s="1"/>
  <c r="N276" i="21"/>
  <c r="K276" i="55" s="1"/>
  <c r="M276" i="55" s="1"/>
  <c r="N263" i="21"/>
  <c r="K263" i="55" s="1"/>
  <c r="M263" i="55" s="1"/>
  <c r="N213" i="21"/>
  <c r="K213" i="55" s="1"/>
  <c r="M213" i="55" s="1"/>
  <c r="N11" i="21"/>
  <c r="K11" i="55" s="1"/>
  <c r="M11" i="55" s="1"/>
  <c r="N283" i="21"/>
  <c r="K283" i="55" s="1"/>
  <c r="M283" i="55" s="1"/>
  <c r="N203" i="21"/>
  <c r="K203" i="55" s="1"/>
  <c r="M203" i="55" s="1"/>
  <c r="N27" i="21"/>
  <c r="K27" i="55" s="1"/>
  <c r="M27" i="55" s="1"/>
  <c r="N64" i="21"/>
  <c r="K64" i="55" s="1"/>
  <c r="M64" i="55" s="1"/>
  <c r="N277" i="21"/>
  <c r="K277" i="55" s="1"/>
  <c r="M277" i="55" s="1"/>
  <c r="N212" i="21"/>
  <c r="K212" i="55" s="1"/>
  <c r="M212" i="55" s="1"/>
  <c r="N219" i="21"/>
  <c r="K219" i="55" s="1"/>
  <c r="M219" i="55" s="1"/>
  <c r="N155" i="21"/>
  <c r="K155" i="55" s="1"/>
  <c r="M155" i="55" s="1"/>
  <c r="N110" i="21"/>
  <c r="K110" i="55" s="1"/>
  <c r="M110" i="55" s="1"/>
  <c r="N174" i="21"/>
  <c r="K174" i="55" s="1"/>
  <c r="M174" i="55" s="1"/>
  <c r="N85" i="21"/>
  <c r="K85" i="55" s="1"/>
  <c r="M85" i="55" s="1"/>
  <c r="N211" i="21"/>
  <c r="K211" i="55" s="1"/>
  <c r="M211" i="55" s="1"/>
  <c r="N148" i="21"/>
  <c r="K148" i="55" s="1"/>
  <c r="M148" i="55" s="1"/>
  <c r="N267" i="21"/>
  <c r="K267" i="55" s="1"/>
  <c r="M267" i="55" s="1"/>
  <c r="N46" i="21"/>
  <c r="K46" i="55" s="1"/>
  <c r="M46" i="55" s="1"/>
  <c r="N84" i="21"/>
  <c r="K84" i="55" s="1"/>
  <c r="M84" i="55" s="1"/>
  <c r="N128" i="21"/>
  <c r="K128" i="55" s="1"/>
  <c r="M128" i="55" s="1"/>
  <c r="N302" i="21"/>
  <c r="K302" i="55" s="1"/>
  <c r="M302" i="55" s="1"/>
  <c r="N75" i="21"/>
  <c r="K75" i="55" s="1"/>
  <c r="M75" i="55" s="1"/>
  <c r="N91" i="21"/>
  <c r="K91" i="55" s="1"/>
  <c r="M91" i="55" s="1"/>
  <c r="N139" i="21"/>
  <c r="K139" i="55" s="1"/>
  <c r="M139" i="55" s="1"/>
  <c r="N149" i="21"/>
  <c r="K149" i="55" s="1"/>
  <c r="M149" i="55" s="1"/>
  <c r="N275" i="21"/>
  <c r="K275" i="55" s="1"/>
  <c r="M275" i="55" s="1"/>
  <c r="N238" i="21"/>
  <c r="K238" i="55" s="1"/>
  <c r="M238" i="55" s="1"/>
  <c r="M166" i="55" l="1"/>
  <c r="M118" i="55"/>
  <c r="N253" i="21"/>
  <c r="K253" i="55" s="1"/>
  <c r="M253" i="55" s="1"/>
  <c r="K36" i="45" s="1"/>
  <c r="U16" i="45"/>
  <c r="U18" i="45" s="1"/>
  <c r="N113" i="21"/>
  <c r="K113" i="55" s="1"/>
  <c r="M113" i="55" s="1"/>
  <c r="N114" i="21"/>
  <c r="K114" i="55" s="1"/>
  <c r="M114" i="55" s="1"/>
  <c r="N307" i="21"/>
  <c r="K307" i="55" s="1"/>
  <c r="M307" i="55" s="1"/>
  <c r="E15" i="57" l="1"/>
  <c r="H15" i="57" s="1"/>
  <c r="E16" i="57"/>
  <c r="H16" i="57" s="1"/>
  <c r="P18" i="45"/>
  <c r="N308" i="9" l="1"/>
  <c r="Q308" i="3" l="1"/>
  <c r="V308" i="53"/>
  <c r="R308" i="3" l="1"/>
  <c r="R6" i="3" l="1"/>
  <c r="S8" i="3"/>
  <c r="S27" i="3"/>
  <c r="T27" i="3" s="1"/>
  <c r="S44" i="3"/>
  <c r="T44" i="3" s="1"/>
  <c r="S305" i="3"/>
  <c r="T305" i="3" s="1"/>
  <c r="S67" i="3"/>
  <c r="T67" i="3" s="1"/>
  <c r="S65" i="3"/>
  <c r="T65" i="3" s="1"/>
  <c r="S64" i="3"/>
  <c r="T64" i="3" s="1"/>
  <c r="S107" i="3"/>
  <c r="T107" i="3" s="1"/>
  <c r="S224" i="3"/>
  <c r="T224" i="3" s="1"/>
  <c r="S161" i="3"/>
  <c r="T161" i="3" s="1"/>
  <c r="S30" i="3"/>
  <c r="T30" i="3" s="1"/>
  <c r="S152" i="3"/>
  <c r="T152" i="3" s="1"/>
  <c r="S223" i="3"/>
  <c r="T223" i="3" s="1"/>
  <c r="S139" i="3"/>
  <c r="T139" i="3" s="1"/>
  <c r="S304" i="3"/>
  <c r="T304" i="3" s="1"/>
  <c r="S209" i="3"/>
  <c r="T209" i="3" s="1"/>
  <c r="S302" i="3"/>
  <c r="T302" i="3" s="1"/>
  <c r="S276" i="3"/>
  <c r="T276" i="3" s="1"/>
  <c r="S306" i="3"/>
  <c r="T306" i="3" s="1"/>
  <c r="S90" i="3"/>
  <c r="T90" i="3" s="1"/>
  <c r="S87" i="3"/>
  <c r="T87" i="3" s="1"/>
  <c r="S231" i="3"/>
  <c r="T231" i="3" s="1"/>
  <c r="S215" i="3"/>
  <c r="T215" i="3" s="1"/>
  <c r="S12" i="3"/>
  <c r="T12" i="3" s="1"/>
  <c r="S68" i="3"/>
  <c r="T68" i="3" s="1"/>
  <c r="S77" i="3"/>
  <c r="T77" i="3" s="1"/>
  <c r="S10" i="3"/>
  <c r="T10" i="3" s="1"/>
  <c r="S88" i="3"/>
  <c r="T88" i="3" s="1"/>
  <c r="S109" i="3"/>
  <c r="T109" i="3" s="1"/>
  <c r="S171" i="3"/>
  <c r="T171" i="3" s="1"/>
  <c r="S43" i="3"/>
  <c r="T43" i="3" s="1"/>
  <c r="S278" i="3"/>
  <c r="T278" i="3" s="1"/>
  <c r="S105" i="3"/>
  <c r="T105" i="3" s="1"/>
  <c r="S51" i="3"/>
  <c r="T51" i="3" s="1"/>
  <c r="S245" i="3"/>
  <c r="T245" i="3" s="1"/>
  <c r="S148" i="3"/>
  <c r="T148" i="3" s="1"/>
  <c r="S182" i="3"/>
  <c r="T182" i="3" s="1"/>
  <c r="S13" i="3"/>
  <c r="T13" i="3" s="1"/>
  <c r="S226" i="3"/>
  <c r="T226" i="3" s="1"/>
  <c r="S200" i="3"/>
  <c r="T200" i="3" s="1"/>
  <c r="S154" i="3"/>
  <c r="T154" i="3" s="1"/>
  <c r="S70" i="3"/>
  <c r="T70" i="3" s="1"/>
  <c r="S93" i="3"/>
  <c r="T93" i="3" s="1"/>
  <c r="S162" i="3"/>
  <c r="T162" i="3" s="1"/>
  <c r="S270" i="3"/>
  <c r="T270" i="3" s="1"/>
  <c r="S286" i="3"/>
  <c r="T286" i="3" s="1"/>
  <c r="S169" i="3"/>
  <c r="T169" i="3" s="1"/>
  <c r="S178" i="3"/>
  <c r="T178" i="3" s="1"/>
  <c r="S217" i="3"/>
  <c r="T217" i="3" s="1"/>
  <c r="S287" i="3"/>
  <c r="T287" i="3" s="1"/>
  <c r="S193" i="3"/>
  <c r="T193" i="3" s="1"/>
  <c r="S20" i="3"/>
  <c r="T20" i="3" s="1"/>
  <c r="S101" i="3"/>
  <c r="T101" i="3" s="1"/>
  <c r="S201" i="3"/>
  <c r="T201" i="3" s="1"/>
  <c r="S45" i="3"/>
  <c r="T45" i="3" s="1"/>
  <c r="S133" i="3"/>
  <c r="T133" i="3" s="1"/>
  <c r="S91" i="3"/>
  <c r="T91" i="3" s="1"/>
  <c r="S156" i="3"/>
  <c r="T156" i="3" s="1"/>
  <c r="S235" i="3"/>
  <c r="T235" i="3" s="1"/>
  <c r="S190" i="3"/>
  <c r="T190" i="3" s="1"/>
  <c r="S252" i="3"/>
  <c r="T252" i="3" s="1"/>
  <c r="S242" i="3"/>
  <c r="T242" i="3" s="1"/>
  <c r="S186" i="3"/>
  <c r="T186" i="3" s="1"/>
  <c r="S136" i="3"/>
  <c r="T136" i="3" s="1"/>
  <c r="S204" i="3"/>
  <c r="T204" i="3" s="1"/>
  <c r="S248" i="3"/>
  <c r="T248" i="3" s="1"/>
  <c r="S81" i="3"/>
  <c r="T81" i="3" s="1"/>
  <c r="S158" i="3"/>
  <c r="T158" i="3" s="1"/>
  <c r="S251" i="3"/>
  <c r="T251" i="3" s="1"/>
  <c r="S147" i="3"/>
  <c r="T147" i="3" s="1"/>
  <c r="S221" i="3"/>
  <c r="T221" i="3" s="1"/>
  <c r="S130" i="3"/>
  <c r="T130" i="3" s="1"/>
  <c r="S191" i="3"/>
  <c r="T191" i="3" s="1"/>
  <c r="S17" i="3"/>
  <c r="T17" i="3" s="1"/>
  <c r="S40" i="3"/>
  <c r="T40" i="3" s="1"/>
  <c r="S266" i="3"/>
  <c r="T266" i="3" s="1"/>
  <c r="S52" i="3"/>
  <c r="T52" i="3" s="1"/>
  <c r="S84" i="3"/>
  <c r="T84" i="3" s="1"/>
  <c r="S94" i="3"/>
  <c r="T94" i="3" s="1"/>
  <c r="S263" i="3"/>
  <c r="T263" i="3" s="1"/>
  <c r="S150" i="3"/>
  <c r="T150" i="3" s="1"/>
  <c r="S9" i="3"/>
  <c r="T9" i="3" s="1"/>
  <c r="S41" i="3"/>
  <c r="T41" i="3" s="1"/>
  <c r="S208" i="3"/>
  <c r="T208" i="3" s="1"/>
  <c r="S33" i="3"/>
  <c r="T33" i="3" s="1"/>
  <c r="S237" i="3"/>
  <c r="T237" i="3" s="1"/>
  <c r="S299" i="3"/>
  <c r="T299" i="3" s="1"/>
  <c r="S275" i="3"/>
  <c r="T275" i="3" s="1"/>
  <c r="S271" i="3"/>
  <c r="T271" i="3" s="1"/>
  <c r="S225" i="3"/>
  <c r="T225" i="3" s="1"/>
  <c r="S298" i="3"/>
  <c r="T298" i="3" s="1"/>
  <c r="S23" i="3"/>
  <c r="T23" i="3" s="1"/>
  <c r="S100" i="3"/>
  <c r="T100" i="3" s="1"/>
  <c r="S303" i="3"/>
  <c r="T303" i="3" s="1"/>
  <c r="S117" i="3"/>
  <c r="T117" i="3" s="1"/>
  <c r="S247" i="3"/>
  <c r="T247" i="3" s="1"/>
  <c r="S76" i="3"/>
  <c r="T76" i="3" s="1"/>
  <c r="S198" i="3"/>
  <c r="T198" i="3" s="1"/>
  <c r="S83" i="3"/>
  <c r="T83" i="3" s="1"/>
  <c r="S58" i="3"/>
  <c r="T58" i="3" s="1"/>
  <c r="S110" i="3"/>
  <c r="T110" i="3" s="1"/>
  <c r="S34" i="3"/>
  <c r="T34" i="3" s="1"/>
  <c r="S16" i="3"/>
  <c r="T16" i="3" s="1"/>
  <c r="S179" i="3"/>
  <c r="T179" i="3" s="1"/>
  <c r="S146" i="3"/>
  <c r="T146" i="3" s="1"/>
  <c r="S296" i="3"/>
  <c r="T296" i="3" s="1"/>
  <c r="S212" i="3"/>
  <c r="T212" i="3" s="1"/>
  <c r="S95" i="3"/>
  <c r="T95" i="3" s="1"/>
  <c r="S279" i="3"/>
  <c r="T279" i="3" s="1"/>
  <c r="S69" i="3"/>
  <c r="T69" i="3" s="1"/>
  <c r="S211" i="3"/>
  <c r="T211" i="3" s="1"/>
  <c r="S261" i="3"/>
  <c r="T261" i="3" s="1"/>
  <c r="S259" i="3"/>
  <c r="T259" i="3" s="1"/>
  <c r="S96" i="3"/>
  <c r="T96" i="3" s="1"/>
  <c r="S233" i="3"/>
  <c r="T233" i="3" s="1"/>
  <c r="S291" i="3"/>
  <c r="T291" i="3" s="1"/>
  <c r="S194" i="3"/>
  <c r="T194" i="3" s="1"/>
  <c r="S39" i="3"/>
  <c r="T39" i="3" s="1"/>
  <c r="S184" i="3"/>
  <c r="T184" i="3" s="1"/>
  <c r="S267" i="3"/>
  <c r="T267" i="3" s="1"/>
  <c r="S214" i="3"/>
  <c r="T214" i="3" s="1"/>
  <c r="S160" i="3"/>
  <c r="T160" i="3" s="1"/>
  <c r="S145" i="3"/>
  <c r="T145" i="3" s="1"/>
  <c r="S159" i="3"/>
  <c r="T159" i="3" s="1"/>
  <c r="S137" i="3"/>
  <c r="T137" i="3" s="1"/>
  <c r="S195" i="3"/>
  <c r="T195" i="3" s="1"/>
  <c r="S202" i="3"/>
  <c r="T202" i="3" s="1"/>
  <c r="S189" i="3"/>
  <c r="T189" i="3" s="1"/>
  <c r="S144" i="3"/>
  <c r="T144" i="3" s="1"/>
  <c r="S135" i="3"/>
  <c r="T135" i="3" s="1"/>
  <c r="S115" i="3"/>
  <c r="T115" i="3" s="1"/>
  <c r="S241" i="3"/>
  <c r="T241" i="3" s="1"/>
  <c r="S15" i="3"/>
  <c r="T15" i="3" s="1"/>
  <c r="S157" i="3"/>
  <c r="T157" i="3" s="1"/>
  <c r="S153" i="3"/>
  <c r="T153" i="3" s="1"/>
  <c r="S134" i="3"/>
  <c r="T134" i="3" s="1"/>
  <c r="S165" i="3"/>
  <c r="T165" i="3" s="1"/>
  <c r="S128" i="3"/>
  <c r="T128" i="3" s="1"/>
  <c r="S132" i="3"/>
  <c r="T132" i="3" s="1"/>
  <c r="S19" i="3"/>
  <c r="T19" i="3" s="1"/>
  <c r="S141" i="3"/>
  <c r="T141" i="3" s="1"/>
  <c r="S173" i="3"/>
  <c r="T173" i="3" s="1"/>
  <c r="S11" i="3"/>
  <c r="T11" i="3" s="1"/>
  <c r="S167" i="3"/>
  <c r="T167" i="3" s="1"/>
  <c r="S28" i="3"/>
  <c r="T28" i="3" s="1"/>
  <c r="S164" i="3"/>
  <c r="T164" i="3" s="1"/>
  <c r="S86" i="3"/>
  <c r="T86" i="3" s="1"/>
  <c r="S82" i="3"/>
  <c r="T82" i="3" s="1"/>
  <c r="S59" i="3"/>
  <c r="T59" i="3" s="1"/>
  <c r="S269" i="3"/>
  <c r="T269" i="3" s="1"/>
  <c r="S244" i="3"/>
  <c r="T244" i="3" s="1"/>
  <c r="S292" i="3"/>
  <c r="T292" i="3" s="1"/>
  <c r="S37" i="3"/>
  <c r="T37" i="3" s="1"/>
  <c r="S120" i="3"/>
  <c r="T120" i="3" s="1"/>
  <c r="S294" i="3"/>
  <c r="T294" i="3" s="1"/>
  <c r="S155" i="3"/>
  <c r="T155" i="3" s="1"/>
  <c r="S280" i="3"/>
  <c r="T280" i="3" s="1"/>
  <c r="S49" i="3"/>
  <c r="T49" i="3" s="1"/>
  <c r="S250" i="3"/>
  <c r="T250" i="3" s="1"/>
  <c r="S118" i="3"/>
  <c r="T118" i="3" s="1"/>
  <c r="S295" i="3"/>
  <c r="T295" i="3" s="1"/>
  <c r="S124" i="3"/>
  <c r="T124" i="3" s="1"/>
  <c r="S38" i="3"/>
  <c r="T38" i="3" s="1"/>
  <c r="S113" i="3"/>
  <c r="T113" i="3" s="1"/>
  <c r="S205" i="3"/>
  <c r="T205" i="3" s="1"/>
  <c r="S50" i="3"/>
  <c r="T50" i="3" s="1"/>
  <c r="S222" i="3"/>
  <c r="T222" i="3" s="1"/>
  <c r="S246" i="3"/>
  <c r="T246" i="3" s="1"/>
  <c r="S260" i="3"/>
  <c r="T260" i="3" s="1"/>
  <c r="S89" i="3"/>
  <c r="T89" i="3" s="1"/>
  <c r="S98" i="3"/>
  <c r="T98" i="3" s="1"/>
  <c r="S210" i="3"/>
  <c r="T210" i="3" s="1"/>
  <c r="S253" i="3"/>
  <c r="S111" i="3"/>
  <c r="T111" i="3" s="1"/>
  <c r="S255" i="3"/>
  <c r="T255" i="3" s="1"/>
  <c r="S301" i="3"/>
  <c r="T301" i="3" s="1"/>
  <c r="S265" i="3"/>
  <c r="T265" i="3" s="1"/>
  <c r="S172" i="3"/>
  <c r="T172" i="3" s="1"/>
  <c r="S297" i="3"/>
  <c r="T297" i="3" s="1"/>
  <c r="S78" i="3"/>
  <c r="T78" i="3" s="1"/>
  <c r="S97" i="3"/>
  <c r="T97" i="3" s="1"/>
  <c r="S18" i="3"/>
  <c r="T18" i="3" s="1"/>
  <c r="S264" i="3"/>
  <c r="T264" i="3" s="1"/>
  <c r="S274" i="3"/>
  <c r="T274" i="3" s="1"/>
  <c r="S116" i="3"/>
  <c r="T116" i="3" s="1"/>
  <c r="S22" i="3"/>
  <c r="T22" i="3" s="1"/>
  <c r="S108" i="3"/>
  <c r="T108" i="3" s="1"/>
  <c r="S185" i="3"/>
  <c r="T185" i="3" s="1"/>
  <c r="S285" i="3"/>
  <c r="T285" i="3" s="1"/>
  <c r="S36" i="3"/>
  <c r="T36" i="3" s="1"/>
  <c r="S243" i="3"/>
  <c r="T243" i="3" s="1"/>
  <c r="S99" i="3"/>
  <c r="T99" i="3" s="1"/>
  <c r="S174" i="3"/>
  <c r="T174" i="3" s="1"/>
  <c r="S289" i="3"/>
  <c r="T289" i="3" s="1"/>
  <c r="S72" i="3"/>
  <c r="T72" i="3" s="1"/>
  <c r="S102" i="3"/>
  <c r="T102" i="3" s="1"/>
  <c r="S47" i="3"/>
  <c r="T47" i="3" s="1"/>
  <c r="S129" i="3"/>
  <c r="T129" i="3" s="1"/>
  <c r="S232" i="3"/>
  <c r="T232" i="3" s="1"/>
  <c r="S80" i="3"/>
  <c r="T80" i="3" s="1"/>
  <c r="S234" i="3"/>
  <c r="T234" i="3" s="1"/>
  <c r="S127" i="3"/>
  <c r="T127" i="3" s="1"/>
  <c r="S126" i="3"/>
  <c r="T126" i="3" s="1"/>
  <c r="S272" i="3"/>
  <c r="T272" i="3" s="1"/>
  <c r="S79" i="3"/>
  <c r="T79" i="3" s="1"/>
  <c r="S262" i="3"/>
  <c r="T262" i="3" s="1"/>
  <c r="S257" i="3"/>
  <c r="T257" i="3" s="1"/>
  <c r="S239" i="3"/>
  <c r="T239" i="3" s="1"/>
  <c r="S283" i="3"/>
  <c r="T283" i="3" s="1"/>
  <c r="S197" i="3"/>
  <c r="T197" i="3" s="1"/>
  <c r="S268" i="3"/>
  <c r="T268" i="3" s="1"/>
  <c r="S21" i="3"/>
  <c r="T21" i="3" s="1"/>
  <c r="S85" i="3"/>
  <c r="T85" i="3" s="1"/>
  <c r="S281" i="3"/>
  <c r="T281" i="3" s="1"/>
  <c r="S188" i="3"/>
  <c r="T188" i="3" s="1"/>
  <c r="S14" i="3"/>
  <c r="T14" i="3" s="1"/>
  <c r="S307" i="3"/>
  <c r="T307" i="3" s="1"/>
  <c r="S238" i="3"/>
  <c r="T238" i="3" s="1"/>
  <c r="S177" i="3"/>
  <c r="T177" i="3" s="1"/>
  <c r="S74" i="3"/>
  <c r="T74" i="3" s="1"/>
  <c r="S219" i="3"/>
  <c r="T219" i="3" s="1"/>
  <c r="S206" i="3"/>
  <c r="T206" i="3" s="1"/>
  <c r="S207" i="3"/>
  <c r="T207" i="3" s="1"/>
  <c r="S35" i="3"/>
  <c r="T35" i="3" s="1"/>
  <c r="S125" i="3"/>
  <c r="T125" i="3" s="1"/>
  <c r="S240" i="3"/>
  <c r="T240" i="3" s="1"/>
  <c r="S175" i="3"/>
  <c r="T175" i="3" s="1"/>
  <c r="S218" i="3"/>
  <c r="T218" i="3" s="1"/>
  <c r="S258" i="3"/>
  <c r="T258" i="3" s="1"/>
  <c r="S92" i="3"/>
  <c r="T92" i="3" s="1"/>
  <c r="S54" i="3"/>
  <c r="T54" i="3" s="1"/>
  <c r="S103" i="3"/>
  <c r="T103" i="3" s="1"/>
  <c r="S42" i="3"/>
  <c r="T42" i="3" s="1"/>
  <c r="S229" i="3"/>
  <c r="T229" i="3" s="1"/>
  <c r="S228" i="3"/>
  <c r="T228" i="3" s="1"/>
  <c r="S220" i="3"/>
  <c r="T220" i="3" s="1"/>
  <c r="S230" i="3"/>
  <c r="T230" i="3" s="1"/>
  <c r="S71" i="3"/>
  <c r="T71" i="3" s="1"/>
  <c r="S32" i="3"/>
  <c r="T32" i="3" s="1"/>
  <c r="S122" i="3"/>
  <c r="T122" i="3" s="1"/>
  <c r="S57" i="3"/>
  <c r="T57" i="3" s="1"/>
  <c r="S170" i="3"/>
  <c r="T170" i="3" s="1"/>
  <c r="S112" i="3"/>
  <c r="T112" i="3" s="1"/>
  <c r="S180" i="3"/>
  <c r="T180" i="3" s="1"/>
  <c r="S123" i="3"/>
  <c r="T123" i="3" s="1"/>
  <c r="S282" i="3"/>
  <c r="T282" i="3" s="1"/>
  <c r="S140" i="3"/>
  <c r="T140" i="3" s="1"/>
  <c r="S31" i="3"/>
  <c r="T31" i="3" s="1"/>
  <c r="S192" i="3"/>
  <c r="T192" i="3" s="1"/>
  <c r="S60" i="3"/>
  <c r="T60" i="3" s="1"/>
  <c r="S56" i="3"/>
  <c r="T56" i="3" s="1"/>
  <c r="S163" i="3"/>
  <c r="T163" i="3" s="1"/>
  <c r="S114" i="3"/>
  <c r="T114" i="3" s="1"/>
  <c r="S203" i="3"/>
  <c r="T203" i="3" s="1"/>
  <c r="S24" i="3"/>
  <c r="T24" i="3" s="1"/>
  <c r="S55" i="3"/>
  <c r="T55" i="3" s="1"/>
  <c r="S46" i="3"/>
  <c r="T46" i="3" s="1"/>
  <c r="S61" i="3"/>
  <c r="T61" i="3" s="1"/>
  <c r="S166" i="3"/>
  <c r="T166" i="3" s="1"/>
  <c r="S256" i="3"/>
  <c r="T256" i="3" s="1"/>
  <c r="S25" i="3"/>
  <c r="T25" i="3" s="1"/>
  <c r="S249" i="3"/>
  <c r="T249" i="3" s="1"/>
  <c r="S106" i="3"/>
  <c r="T106" i="3" s="1"/>
  <c r="S187" i="3"/>
  <c r="T187" i="3" s="1"/>
  <c r="S293" i="3"/>
  <c r="T293" i="3" s="1"/>
  <c r="S284" i="3"/>
  <c r="T284" i="3" s="1"/>
  <c r="S104" i="3"/>
  <c r="T104" i="3" s="1"/>
  <c r="S196" i="3"/>
  <c r="T196" i="3" s="1"/>
  <c r="S62" i="3"/>
  <c r="T62" i="3" s="1"/>
  <c r="S26" i="3"/>
  <c r="T26" i="3" s="1"/>
  <c r="S199" i="3"/>
  <c r="T199" i="3" s="1"/>
  <c r="S138" i="3"/>
  <c r="T138" i="3" s="1"/>
  <c r="S227" i="3"/>
  <c r="T227" i="3" s="1"/>
  <c r="S216" i="3"/>
  <c r="T216" i="3" s="1"/>
  <c r="S213" i="3"/>
  <c r="T213" i="3" s="1"/>
  <c r="S48" i="3"/>
  <c r="T48" i="3" s="1"/>
  <c r="S288" i="3"/>
  <c r="T288" i="3" s="1"/>
  <c r="S131" i="3"/>
  <c r="T131" i="3" s="1"/>
  <c r="S290" i="3"/>
  <c r="T290" i="3" s="1"/>
  <c r="S273" i="3"/>
  <c r="T273" i="3" s="1"/>
  <c r="S143" i="3"/>
  <c r="T143" i="3" s="1"/>
  <c r="S121" i="3"/>
  <c r="T121" i="3" s="1"/>
  <c r="S151" i="3"/>
  <c r="T151" i="3" s="1"/>
  <c r="S75" i="3"/>
  <c r="T75" i="3" s="1"/>
  <c r="S181" i="3"/>
  <c r="T181" i="3" s="1"/>
  <c r="S53" i="3"/>
  <c r="T53" i="3" s="1"/>
  <c r="S29" i="3"/>
  <c r="T29" i="3" s="1"/>
  <c r="S66" i="3"/>
  <c r="T66" i="3" s="1"/>
  <c r="S254" i="3"/>
  <c r="T254" i="3" s="1"/>
  <c r="S277" i="3"/>
  <c r="T277" i="3" s="1"/>
  <c r="S183" i="3"/>
  <c r="T183" i="3" s="1"/>
  <c r="S300" i="3"/>
  <c r="T300" i="3" s="1"/>
  <c r="S168" i="3"/>
  <c r="T168" i="3" s="1"/>
  <c r="S63" i="3"/>
  <c r="T63" i="3" s="1"/>
  <c r="S176" i="3"/>
  <c r="T176" i="3" s="1"/>
  <c r="S236" i="3"/>
  <c r="T236" i="3" s="1"/>
  <c r="S73" i="3"/>
  <c r="T73" i="3" s="1"/>
  <c r="S119" i="3"/>
  <c r="T119" i="3" s="1"/>
  <c r="S142" i="3"/>
  <c r="T142" i="3" s="1"/>
  <c r="S149" i="3"/>
  <c r="T149" i="3" s="1"/>
  <c r="T253" i="3" l="1"/>
  <c r="E253" i="55" s="1"/>
  <c r="F253" i="55" s="1"/>
  <c r="G29" i="45"/>
  <c r="G31" i="45" s="1"/>
  <c r="B31" i="45" s="1"/>
  <c r="E273" i="55"/>
  <c r="F273" i="55" s="1"/>
  <c r="E187" i="55"/>
  <c r="F187" i="55" s="1"/>
  <c r="E55" i="55"/>
  <c r="F55" i="55" s="1"/>
  <c r="E31" i="55"/>
  <c r="F31" i="55" s="1"/>
  <c r="E122" i="55"/>
  <c r="F122" i="55" s="1"/>
  <c r="E103" i="55"/>
  <c r="F103" i="55" s="1"/>
  <c r="E35" i="55"/>
  <c r="F35" i="55" s="1"/>
  <c r="E14" i="55"/>
  <c r="F14" i="55" s="1"/>
  <c r="E239" i="55"/>
  <c r="F239" i="55" s="1"/>
  <c r="E80" i="55"/>
  <c r="F80" i="55" s="1"/>
  <c r="E99" i="55"/>
  <c r="F99" i="55" s="1"/>
  <c r="E274" i="55"/>
  <c r="F274" i="55" s="1"/>
  <c r="E301" i="55"/>
  <c r="F301" i="55" s="1"/>
  <c r="E246" i="55"/>
  <c r="F246" i="55" s="1"/>
  <c r="E118" i="55"/>
  <c r="E292" i="55"/>
  <c r="F292" i="55" s="1"/>
  <c r="E167" i="55"/>
  <c r="F167" i="55" s="1"/>
  <c r="E134" i="55"/>
  <c r="F134" i="55" s="1"/>
  <c r="E144" i="55"/>
  <c r="F144" i="55" s="1"/>
  <c r="E214" i="55"/>
  <c r="F214" i="55" s="1"/>
  <c r="E259" i="55"/>
  <c r="F259" i="55" s="1"/>
  <c r="E146" i="55"/>
  <c r="F146" i="55" s="1"/>
  <c r="E76" i="55"/>
  <c r="F76" i="55" s="1"/>
  <c r="E271" i="55"/>
  <c r="F271" i="55" s="1"/>
  <c r="E150" i="55"/>
  <c r="F150" i="55" s="1"/>
  <c r="E191" i="55"/>
  <c r="F191" i="55" s="1"/>
  <c r="E204" i="55"/>
  <c r="F204" i="55" s="1"/>
  <c r="E91" i="55"/>
  <c r="F91" i="55" s="1"/>
  <c r="E217" i="55"/>
  <c r="F217" i="55" s="1"/>
  <c r="E154" i="55"/>
  <c r="F154" i="55" s="1"/>
  <c r="E105" i="55"/>
  <c r="F105" i="55" s="1"/>
  <c r="E68" i="55"/>
  <c r="F68" i="55" s="1"/>
  <c r="E302" i="55"/>
  <c r="F302" i="55" s="1"/>
  <c r="E224" i="55"/>
  <c r="F224" i="55" s="1"/>
  <c r="E199" i="55"/>
  <c r="F199" i="55" s="1"/>
  <c r="E32" i="55"/>
  <c r="F32" i="55" s="1"/>
  <c r="E54" i="55"/>
  <c r="F54" i="55" s="1"/>
  <c r="E207" i="55"/>
  <c r="F207" i="55" s="1"/>
  <c r="E188" i="55"/>
  <c r="F188" i="55" s="1"/>
  <c r="E257" i="55"/>
  <c r="F257" i="55" s="1"/>
  <c r="E232" i="55"/>
  <c r="F232" i="55" s="1"/>
  <c r="E243" i="55"/>
  <c r="F243" i="55" s="1"/>
  <c r="E264" i="55"/>
  <c r="F264" i="55" s="1"/>
  <c r="E255" i="55"/>
  <c r="F255" i="55" s="1"/>
  <c r="E222" i="55"/>
  <c r="F222" i="55" s="1"/>
  <c r="E250" i="55"/>
  <c r="F250" i="55" s="1"/>
  <c r="E244" i="55"/>
  <c r="F244" i="55" s="1"/>
  <c r="E11" i="55"/>
  <c r="F11" i="55" s="1"/>
  <c r="E153" i="55"/>
  <c r="F153" i="55" s="1"/>
  <c r="E189" i="55"/>
  <c r="F189" i="55" s="1"/>
  <c r="E267" i="55"/>
  <c r="F267" i="55" s="1"/>
  <c r="E261" i="55"/>
  <c r="F261" i="55" s="1"/>
  <c r="E179" i="55"/>
  <c r="F179" i="55" s="1"/>
  <c r="E247" i="55"/>
  <c r="F247" i="55" s="1"/>
  <c r="E275" i="55"/>
  <c r="F275" i="55" s="1"/>
  <c r="E263" i="55"/>
  <c r="F263" i="55" s="1"/>
  <c r="E130" i="55"/>
  <c r="F130" i="55" s="1"/>
  <c r="E136" i="55"/>
  <c r="F136" i="55" s="1"/>
  <c r="E133" i="55"/>
  <c r="F133" i="55" s="1"/>
  <c r="E178" i="55"/>
  <c r="F178" i="55" s="1"/>
  <c r="E200" i="55"/>
  <c r="F200" i="55" s="1"/>
  <c r="E278" i="55"/>
  <c r="F278" i="55" s="1"/>
  <c r="E12" i="55"/>
  <c r="F12" i="55" s="1"/>
  <c r="E209" i="55"/>
  <c r="F209" i="55" s="1"/>
  <c r="E107" i="55"/>
  <c r="F107" i="55" s="1"/>
  <c r="E138" i="55"/>
  <c r="F138" i="55" s="1"/>
  <c r="E63" i="55"/>
  <c r="F63" i="55" s="1"/>
  <c r="E26" i="55"/>
  <c r="F26" i="55" s="1"/>
  <c r="E249" i="55"/>
  <c r="F249" i="55" s="1"/>
  <c r="E203" i="55"/>
  <c r="F203" i="55" s="1"/>
  <c r="E282" i="55"/>
  <c r="F282" i="55" s="1"/>
  <c r="E71" i="55"/>
  <c r="F71" i="55" s="1"/>
  <c r="E92" i="55"/>
  <c r="F92" i="55" s="1"/>
  <c r="E206" i="55"/>
  <c r="F206" i="55" s="1"/>
  <c r="E281" i="55"/>
  <c r="F281" i="55" s="1"/>
  <c r="E262" i="55"/>
  <c r="F262" i="55" s="1"/>
  <c r="E129" i="55"/>
  <c r="F129" i="55" s="1"/>
  <c r="E36" i="55"/>
  <c r="F36" i="55" s="1"/>
  <c r="E18" i="55"/>
  <c r="F18" i="55" s="1"/>
  <c r="E111" i="55"/>
  <c r="F111" i="55" s="1"/>
  <c r="E50" i="55"/>
  <c r="F50" i="55" s="1"/>
  <c r="E49" i="55"/>
  <c r="F49" i="55" s="1"/>
  <c r="E269" i="55"/>
  <c r="F269" i="55" s="1"/>
  <c r="E173" i="55"/>
  <c r="F173" i="55" s="1"/>
  <c r="E202" i="55"/>
  <c r="F202" i="55" s="1"/>
  <c r="E184" i="55"/>
  <c r="F184" i="55" s="1"/>
  <c r="E211" i="55"/>
  <c r="F211" i="55" s="1"/>
  <c r="E16" i="55"/>
  <c r="F16" i="55" s="1"/>
  <c r="E117" i="55"/>
  <c r="F117" i="55" s="1"/>
  <c r="E299" i="55"/>
  <c r="F299" i="55" s="1"/>
  <c r="E94" i="55"/>
  <c r="F94" i="55" s="1"/>
  <c r="E221" i="55"/>
  <c r="F221" i="55" s="1"/>
  <c r="E186" i="55"/>
  <c r="F186" i="55" s="1"/>
  <c r="E45" i="55"/>
  <c r="F45" i="55" s="1"/>
  <c r="E169" i="55"/>
  <c r="F169" i="55" s="1"/>
  <c r="E226" i="55"/>
  <c r="F226" i="55" s="1"/>
  <c r="E43" i="55"/>
  <c r="F43" i="55" s="1"/>
  <c r="E215" i="55"/>
  <c r="F215" i="55" s="1"/>
  <c r="E304" i="55"/>
  <c r="F304" i="55" s="1"/>
  <c r="E64" i="55"/>
  <c r="F64" i="55" s="1"/>
  <c r="E66" i="55"/>
  <c r="F66" i="55" s="1"/>
  <c r="E24" i="55"/>
  <c r="F24" i="55" s="1"/>
  <c r="E288" i="55"/>
  <c r="F288" i="55" s="1"/>
  <c r="E114" i="55"/>
  <c r="F114" i="55" s="1"/>
  <c r="E123" i="55"/>
  <c r="F123" i="55" s="1"/>
  <c r="E230" i="55"/>
  <c r="F230" i="55" s="1"/>
  <c r="E258" i="55"/>
  <c r="F258" i="55" s="1"/>
  <c r="E219" i="55"/>
  <c r="F219" i="55" s="1"/>
  <c r="E85" i="55"/>
  <c r="F85" i="55" s="1"/>
  <c r="E79" i="55"/>
  <c r="F79" i="55" s="1"/>
  <c r="E47" i="55"/>
  <c r="F47" i="55" s="1"/>
  <c r="E285" i="55"/>
  <c r="F285" i="55" s="1"/>
  <c r="E97" i="55"/>
  <c r="F97" i="55" s="1"/>
  <c r="E205" i="55"/>
  <c r="F205" i="55" s="1"/>
  <c r="E280" i="55"/>
  <c r="F280" i="55" s="1"/>
  <c r="E59" i="55"/>
  <c r="F59" i="55" s="1"/>
  <c r="E141" i="55"/>
  <c r="F141" i="55" s="1"/>
  <c r="E157" i="55"/>
  <c r="F157" i="55" s="1"/>
  <c r="E195" i="55"/>
  <c r="F195" i="55" s="1"/>
  <c r="E39" i="55"/>
  <c r="F39" i="55" s="1"/>
  <c r="E69" i="55"/>
  <c r="F69" i="55" s="1"/>
  <c r="E34" i="55"/>
  <c r="F34" i="55" s="1"/>
  <c r="E303" i="55"/>
  <c r="F303" i="55" s="1"/>
  <c r="E237" i="55"/>
  <c r="F237" i="55" s="1"/>
  <c r="E84" i="55"/>
  <c r="F84" i="55" s="1"/>
  <c r="E147" i="55"/>
  <c r="F147" i="55" s="1"/>
  <c r="E242" i="55"/>
  <c r="F242" i="55" s="1"/>
  <c r="E201" i="55"/>
  <c r="F201" i="55" s="1"/>
  <c r="E286" i="55"/>
  <c r="F286" i="55" s="1"/>
  <c r="E13" i="55"/>
  <c r="F13" i="55" s="1"/>
  <c r="E171" i="55"/>
  <c r="F171" i="55" s="1"/>
  <c r="E231" i="55"/>
  <c r="F231" i="55" s="1"/>
  <c r="E139" i="55"/>
  <c r="F139" i="55" s="1"/>
  <c r="E65" i="55"/>
  <c r="F65" i="55" s="1"/>
  <c r="E29" i="55"/>
  <c r="F29" i="55" s="1"/>
  <c r="E53" i="55"/>
  <c r="F53" i="55" s="1"/>
  <c r="E62" i="55"/>
  <c r="F62" i="55" s="1"/>
  <c r="E75" i="55"/>
  <c r="F75" i="55" s="1"/>
  <c r="E48" i="55"/>
  <c r="F48" i="55" s="1"/>
  <c r="E196" i="55"/>
  <c r="F196" i="55" s="1"/>
  <c r="E256" i="55"/>
  <c r="F256" i="55" s="1"/>
  <c r="E163" i="55"/>
  <c r="F163" i="55" s="1"/>
  <c r="E180" i="55"/>
  <c r="F180" i="55" s="1"/>
  <c r="E220" i="55"/>
  <c r="F220" i="55" s="1"/>
  <c r="E218" i="55"/>
  <c r="F218" i="55" s="1"/>
  <c r="E74" i="55"/>
  <c r="F74" i="55" s="1"/>
  <c r="E21" i="55"/>
  <c r="F21" i="55" s="1"/>
  <c r="E272" i="55"/>
  <c r="F272" i="55" s="1"/>
  <c r="E102" i="55"/>
  <c r="F102" i="55" s="1"/>
  <c r="E185" i="55"/>
  <c r="F185" i="55" s="1"/>
  <c r="E78" i="55"/>
  <c r="F78" i="55" s="1"/>
  <c r="E210" i="55"/>
  <c r="F210" i="55" s="1"/>
  <c r="E113" i="55"/>
  <c r="F113" i="55" s="1"/>
  <c r="E155" i="55"/>
  <c r="F155" i="55" s="1"/>
  <c r="E82" i="55"/>
  <c r="F82" i="55" s="1"/>
  <c r="E19" i="55"/>
  <c r="F19" i="55" s="1"/>
  <c r="E15" i="55"/>
  <c r="F15" i="55" s="1"/>
  <c r="E137" i="55"/>
  <c r="F137" i="55" s="1"/>
  <c r="E194" i="55"/>
  <c r="F194" i="55" s="1"/>
  <c r="E279" i="55"/>
  <c r="F279" i="55" s="1"/>
  <c r="E110" i="55"/>
  <c r="F110" i="55" s="1"/>
  <c r="E100" i="55"/>
  <c r="F100" i="55" s="1"/>
  <c r="E33" i="55"/>
  <c r="F33" i="55" s="1"/>
  <c r="E52" i="55"/>
  <c r="F52" i="55" s="1"/>
  <c r="E251" i="55"/>
  <c r="F251" i="55" s="1"/>
  <c r="E252" i="55"/>
  <c r="F252" i="55" s="1"/>
  <c r="E101" i="55"/>
  <c r="F101" i="55" s="1"/>
  <c r="E270" i="55"/>
  <c r="F270" i="55" s="1"/>
  <c r="E182" i="55"/>
  <c r="F182" i="55" s="1"/>
  <c r="E109" i="55"/>
  <c r="F109" i="55" s="1"/>
  <c r="E87" i="55"/>
  <c r="F87" i="55" s="1"/>
  <c r="E223" i="55"/>
  <c r="F223" i="55" s="1"/>
  <c r="E67" i="55"/>
  <c r="F67" i="55" s="1"/>
  <c r="E290" i="55"/>
  <c r="F290" i="55" s="1"/>
  <c r="E131" i="55"/>
  <c r="F131" i="55" s="1"/>
  <c r="E181" i="55"/>
  <c r="F181" i="55" s="1"/>
  <c r="E300" i="55"/>
  <c r="F300" i="55" s="1"/>
  <c r="E151" i="55"/>
  <c r="F151" i="55" s="1"/>
  <c r="E104" i="55"/>
  <c r="F104" i="55" s="1"/>
  <c r="E166" i="55"/>
  <c r="F166" i="55" s="1"/>
  <c r="E56" i="55"/>
  <c r="F56" i="55" s="1"/>
  <c r="E112" i="55"/>
  <c r="F112" i="55" s="1"/>
  <c r="E228" i="55"/>
  <c r="F228" i="55" s="1"/>
  <c r="E175" i="55"/>
  <c r="F175" i="55" s="1"/>
  <c r="E177" i="55"/>
  <c r="F177" i="55" s="1"/>
  <c r="E268" i="55"/>
  <c r="F268" i="55" s="1"/>
  <c r="E126" i="55"/>
  <c r="F126" i="55" s="1"/>
  <c r="E72" i="55"/>
  <c r="F72" i="55" s="1"/>
  <c r="E108" i="55"/>
  <c r="F108" i="55" s="1"/>
  <c r="E297" i="55"/>
  <c r="F297" i="55" s="1"/>
  <c r="E98" i="55"/>
  <c r="F98" i="55" s="1"/>
  <c r="E38" i="55"/>
  <c r="F38" i="55" s="1"/>
  <c r="E294" i="55"/>
  <c r="F294" i="55" s="1"/>
  <c r="E86" i="55"/>
  <c r="F86" i="55" s="1"/>
  <c r="E132" i="55"/>
  <c r="F132" i="55" s="1"/>
  <c r="E241" i="55"/>
  <c r="F241" i="55" s="1"/>
  <c r="E159" i="55"/>
  <c r="F159" i="55" s="1"/>
  <c r="E291" i="55"/>
  <c r="F291" i="55" s="1"/>
  <c r="E95" i="55"/>
  <c r="F95" i="55" s="1"/>
  <c r="E58" i="55"/>
  <c r="F58" i="55" s="1"/>
  <c r="E23" i="55"/>
  <c r="F23" i="55" s="1"/>
  <c r="E208" i="55"/>
  <c r="F208" i="55" s="1"/>
  <c r="E266" i="55"/>
  <c r="F266" i="55" s="1"/>
  <c r="E158" i="55"/>
  <c r="F158" i="55" s="1"/>
  <c r="E190" i="55"/>
  <c r="F190" i="55" s="1"/>
  <c r="E20" i="55"/>
  <c r="F20" i="55" s="1"/>
  <c r="E162" i="55"/>
  <c r="F162" i="55" s="1"/>
  <c r="E148" i="55"/>
  <c r="F148" i="55" s="1"/>
  <c r="E88" i="55"/>
  <c r="F88" i="55" s="1"/>
  <c r="E90" i="55"/>
  <c r="F90" i="55" s="1"/>
  <c r="E152" i="55"/>
  <c r="F152" i="55" s="1"/>
  <c r="E305" i="55"/>
  <c r="F305" i="55" s="1"/>
  <c r="E236" i="55"/>
  <c r="F236" i="55" s="1"/>
  <c r="E140" i="55"/>
  <c r="F140" i="55" s="1"/>
  <c r="E25" i="55"/>
  <c r="F25" i="55" s="1"/>
  <c r="E142" i="55"/>
  <c r="F142" i="55" s="1"/>
  <c r="E119" i="55"/>
  <c r="F119" i="55" s="1"/>
  <c r="E121" i="55"/>
  <c r="F121" i="55" s="1"/>
  <c r="E216" i="55"/>
  <c r="F216" i="55" s="1"/>
  <c r="E284" i="55"/>
  <c r="F284" i="55" s="1"/>
  <c r="E61" i="55"/>
  <c r="F61" i="55" s="1"/>
  <c r="E60" i="55"/>
  <c r="F60" i="55" s="1"/>
  <c r="E170" i="55"/>
  <c r="F170" i="55" s="1"/>
  <c r="E229" i="55"/>
  <c r="F229" i="55" s="1"/>
  <c r="E240" i="55"/>
  <c r="F240" i="55" s="1"/>
  <c r="E238" i="55"/>
  <c r="F238" i="55" s="1"/>
  <c r="E197" i="55"/>
  <c r="F197" i="55" s="1"/>
  <c r="E127" i="55"/>
  <c r="F127" i="55" s="1"/>
  <c r="E289" i="55"/>
  <c r="F289" i="55" s="1"/>
  <c r="E22" i="55"/>
  <c r="F22" i="55" s="1"/>
  <c r="E172" i="55"/>
  <c r="F172" i="55" s="1"/>
  <c r="E89" i="55"/>
  <c r="F89" i="55" s="1"/>
  <c r="E124" i="55"/>
  <c r="F124" i="55" s="1"/>
  <c r="E120" i="55"/>
  <c r="F120" i="55" s="1"/>
  <c r="E164" i="55"/>
  <c r="F164" i="55" s="1"/>
  <c r="E128" i="55"/>
  <c r="F128" i="55" s="1"/>
  <c r="E115" i="55"/>
  <c r="F115" i="55" s="1"/>
  <c r="E145" i="55"/>
  <c r="F145" i="55" s="1"/>
  <c r="E233" i="55"/>
  <c r="F233" i="55" s="1"/>
  <c r="E212" i="55"/>
  <c r="F212" i="55" s="1"/>
  <c r="E83" i="55"/>
  <c r="F83" i="55" s="1"/>
  <c r="E298" i="55"/>
  <c r="F298" i="55" s="1"/>
  <c r="E41" i="55"/>
  <c r="F41" i="55" s="1"/>
  <c r="E40" i="55"/>
  <c r="F40" i="55" s="1"/>
  <c r="E81" i="55"/>
  <c r="F81" i="55" s="1"/>
  <c r="E235" i="55"/>
  <c r="F235" i="55" s="1"/>
  <c r="E193" i="55"/>
  <c r="F193" i="55" s="1"/>
  <c r="E93" i="55"/>
  <c r="F93" i="55" s="1"/>
  <c r="E245" i="55"/>
  <c r="F245" i="55" s="1"/>
  <c r="E10" i="55"/>
  <c r="F10" i="55" s="1"/>
  <c r="E306" i="55"/>
  <c r="F306" i="55" s="1"/>
  <c r="E30" i="55"/>
  <c r="F30" i="55" s="1"/>
  <c r="E44" i="55"/>
  <c r="F44" i="55" s="1"/>
  <c r="E176" i="55"/>
  <c r="F176" i="55" s="1"/>
  <c r="E106" i="55"/>
  <c r="F106" i="55" s="1"/>
  <c r="E168" i="55"/>
  <c r="F168" i="55" s="1"/>
  <c r="E149" i="55"/>
  <c r="F149" i="55" s="1"/>
  <c r="E183" i="55"/>
  <c r="F183" i="55" s="1"/>
  <c r="E213" i="55"/>
  <c r="F213" i="55" s="1"/>
  <c r="E277" i="55"/>
  <c r="F277" i="55" s="1"/>
  <c r="E73" i="55"/>
  <c r="F73" i="55" s="1"/>
  <c r="E254" i="55"/>
  <c r="F254" i="55" s="1"/>
  <c r="E143" i="55"/>
  <c r="F143" i="55" s="1"/>
  <c r="E227" i="55"/>
  <c r="F227" i="55" s="1"/>
  <c r="E293" i="55"/>
  <c r="F293" i="55" s="1"/>
  <c r="E46" i="55"/>
  <c r="F46" i="55" s="1"/>
  <c r="E192" i="55"/>
  <c r="F192" i="55" s="1"/>
  <c r="E57" i="55"/>
  <c r="F57" i="55" s="1"/>
  <c r="E42" i="55"/>
  <c r="F42" i="55" s="1"/>
  <c r="E125" i="55"/>
  <c r="F125" i="55" s="1"/>
  <c r="E307" i="55"/>
  <c r="F307" i="55" s="1"/>
  <c r="E283" i="55"/>
  <c r="F283" i="55" s="1"/>
  <c r="E234" i="55"/>
  <c r="F234" i="55" s="1"/>
  <c r="E174" i="55"/>
  <c r="F174" i="55" s="1"/>
  <c r="E116" i="55"/>
  <c r="F116" i="55" s="1"/>
  <c r="E265" i="55"/>
  <c r="F265" i="55" s="1"/>
  <c r="E260" i="55"/>
  <c r="F260" i="55" s="1"/>
  <c r="E295" i="55"/>
  <c r="F295" i="55" s="1"/>
  <c r="E37" i="55"/>
  <c r="F37" i="55" s="1"/>
  <c r="E28" i="55"/>
  <c r="F28" i="55" s="1"/>
  <c r="E165" i="55"/>
  <c r="F165" i="55" s="1"/>
  <c r="E135" i="55"/>
  <c r="F135" i="55" s="1"/>
  <c r="E160" i="55"/>
  <c r="F160" i="55" s="1"/>
  <c r="E96" i="55"/>
  <c r="F96" i="55" s="1"/>
  <c r="E296" i="55"/>
  <c r="F296" i="55" s="1"/>
  <c r="E198" i="55"/>
  <c r="F198" i="55" s="1"/>
  <c r="E225" i="55"/>
  <c r="F225" i="55" s="1"/>
  <c r="E9" i="55"/>
  <c r="F9" i="55" s="1"/>
  <c r="E17" i="55"/>
  <c r="F17" i="55" s="1"/>
  <c r="E248" i="55"/>
  <c r="F248" i="55" s="1"/>
  <c r="E156" i="55"/>
  <c r="F156" i="55" s="1"/>
  <c r="E287" i="55"/>
  <c r="F287" i="55" s="1"/>
  <c r="E70" i="55"/>
  <c r="F70" i="55" s="1"/>
  <c r="E51" i="55"/>
  <c r="F51" i="55" s="1"/>
  <c r="E77" i="55"/>
  <c r="F77" i="55" s="1"/>
  <c r="E276" i="55"/>
  <c r="F276" i="55" s="1"/>
  <c r="E161" i="55"/>
  <c r="F161" i="55" s="1"/>
  <c r="E27" i="55"/>
  <c r="F27" i="55" s="1"/>
  <c r="S308" i="3"/>
  <c r="T8" i="3"/>
  <c r="E5" i="57" l="1"/>
  <c r="H5" i="57" s="1"/>
  <c r="T6" i="3"/>
  <c r="I36" i="45"/>
  <c r="F118" i="55"/>
  <c r="E8" i="57"/>
  <c r="H8" i="57" s="1"/>
  <c r="E8" i="55"/>
  <c r="E308" i="55" s="1"/>
  <c r="T308" i="3"/>
  <c r="F8" i="55" l="1"/>
  <c r="F308" i="55" l="1"/>
  <c r="M308" i="21"/>
  <c r="M6" i="21" s="1"/>
  <c r="N8" i="21"/>
  <c r="N308" i="21" l="1"/>
  <c r="N6" i="21" s="1"/>
  <c r="K8" i="55"/>
  <c r="K308" i="55" l="1"/>
  <c r="M8" i="55"/>
  <c r="M308" i="55" l="1"/>
  <c r="Q208" i="9" l="1"/>
  <c r="Q210" i="9"/>
  <c r="Q9" i="9"/>
  <c r="Q72" i="9"/>
  <c r="Q213" i="9"/>
  <c r="Q280" i="9"/>
  <c r="Q282" i="9"/>
  <c r="Q182" i="9"/>
  <c r="Q184" i="9"/>
  <c r="Q271" i="9"/>
  <c r="Q286" i="9"/>
  <c r="Q50" i="9"/>
  <c r="Q51" i="9"/>
  <c r="Q189" i="9"/>
  <c r="Q190" i="9"/>
  <c r="Q194" i="9"/>
  <c r="Q12" i="9"/>
  <c r="Q217" i="9"/>
  <c r="Q113" i="9"/>
  <c r="Q14" i="9"/>
  <c r="Q143" i="9"/>
  <c r="Q57" i="9"/>
  <c r="Q173" i="9"/>
  <c r="Q145" i="9"/>
  <c r="Q16" i="9"/>
  <c r="Q237" i="9"/>
  <c r="Q83" i="9"/>
  <c r="Q168" i="9"/>
  <c r="Q124" i="9"/>
  <c r="Q251" i="9"/>
  <c r="Q34" i="9"/>
  <c r="Q225" i="9"/>
  <c r="Q264" i="9"/>
  <c r="Q249" i="9"/>
  <c r="Q276" i="9"/>
  <c r="Q21" i="9"/>
  <c r="Q235" i="9"/>
  <c r="Q132" i="9"/>
  <c r="Q185" i="9"/>
  <c r="Q74" i="9"/>
  <c r="Q111" i="9"/>
  <c r="Q191" i="9"/>
  <c r="Q243" i="9"/>
  <c r="Q141" i="9"/>
  <c r="Q196" i="9"/>
  <c r="Q166" i="9"/>
  <c r="Q81" i="9"/>
  <c r="Q297" i="9"/>
  <c r="Q226" i="9"/>
  <c r="Q175" i="9"/>
  <c r="Q211" i="9"/>
  <c r="Q26" i="9"/>
  <c r="Q27" i="9"/>
  <c r="Q130" i="9"/>
  <c r="Q93" i="9"/>
  <c r="Q45" i="9"/>
  <c r="Q10" i="9"/>
  <c r="Q94" i="9"/>
  <c r="Q47" i="9"/>
  <c r="Q38" i="9"/>
  <c r="Q162" i="9"/>
  <c r="Q139" i="9"/>
  <c r="Q39" i="9"/>
  <c r="Q79" i="9"/>
  <c r="Q53" i="9"/>
  <c r="Q157" i="9"/>
  <c r="Q44" i="9"/>
  <c r="Q13" i="9"/>
  <c r="Q218" i="9"/>
  <c r="Q56" i="9"/>
  <c r="Q58" i="9"/>
  <c r="Q219" i="9"/>
  <c r="Q80" i="9"/>
  <c r="Q104" i="9"/>
  <c r="Q295" i="9"/>
  <c r="Q262" i="9"/>
  <c r="Q116" i="9"/>
  <c r="Q20" i="9"/>
  <c r="Q252" i="9"/>
  <c r="Q35" i="9"/>
  <c r="Q234" i="9"/>
  <c r="Q107" i="9"/>
  <c r="Q302" i="9"/>
  <c r="Q205" i="9"/>
  <c r="Q265" i="9"/>
  <c r="Q155" i="9"/>
  <c r="Q92" i="9"/>
  <c r="Q239" i="9"/>
  <c r="Q46" i="9"/>
  <c r="Q186" i="9"/>
  <c r="Q288" i="9"/>
  <c r="Q28" i="9"/>
  <c r="Q90" i="9"/>
  <c r="Q70" i="9"/>
  <c r="Q177" i="9"/>
  <c r="Q279" i="9"/>
  <c r="Q158" i="9"/>
  <c r="Q221" i="9"/>
  <c r="Q55" i="9"/>
  <c r="Q144" i="9"/>
  <c r="Q89" i="9"/>
  <c r="Q293" i="9"/>
  <c r="Q84" i="9"/>
  <c r="Q148" i="9"/>
  <c r="Q88" i="9"/>
  <c r="Q23" i="9"/>
  <c r="Q108" i="9"/>
  <c r="Q277" i="9"/>
  <c r="Q127" i="9"/>
  <c r="Q254" i="9"/>
  <c r="Q281" i="9"/>
  <c r="Q160" i="9"/>
  <c r="Q240" i="9"/>
  <c r="Q11" i="9"/>
  <c r="Q187" i="9"/>
  <c r="Q161" i="9"/>
  <c r="Q188" i="9"/>
  <c r="Q289" i="9"/>
  <c r="Q52" i="9"/>
  <c r="Q98" i="9"/>
  <c r="Q54" i="9"/>
  <c r="Q163" i="9"/>
  <c r="Q199" i="9"/>
  <c r="Q267" i="9"/>
  <c r="Q142" i="9"/>
  <c r="Q122" i="9"/>
  <c r="Q244" i="9"/>
  <c r="Q60" i="9"/>
  <c r="Q102" i="9"/>
  <c r="Q220" i="9"/>
  <c r="Q82" i="9"/>
  <c r="Q65" i="9"/>
  <c r="Q123" i="9"/>
  <c r="Q224" i="9"/>
  <c r="Q85" i="9"/>
  <c r="Q125" i="9"/>
  <c r="Q298" i="9"/>
  <c r="Q203" i="9"/>
  <c r="Q303" i="9"/>
  <c r="Q171" i="9"/>
  <c r="Q172" i="9"/>
  <c r="Q156" i="9"/>
  <c r="Q283" i="9"/>
  <c r="Q95" i="9"/>
  <c r="Q287" i="9"/>
  <c r="Q76" i="9"/>
  <c r="Q99" i="9"/>
  <c r="Q274" i="9"/>
  <c r="Q164" i="9"/>
  <c r="Q32" i="9"/>
  <c r="Q15" i="9"/>
  <c r="Q245" i="9"/>
  <c r="Q147" i="9"/>
  <c r="Q36" i="9"/>
  <c r="Q300" i="9"/>
  <c r="Q152" i="9"/>
  <c r="Q304" i="9"/>
  <c r="Q207" i="9"/>
  <c r="Q37" i="9"/>
  <c r="Q278" i="9"/>
  <c r="Q212" i="9"/>
  <c r="Q42" i="9"/>
  <c r="Q255" i="9"/>
  <c r="Q269" i="9"/>
  <c r="Q214" i="9"/>
  <c r="Q120" i="9"/>
  <c r="Q230" i="9"/>
  <c r="Q110" i="9"/>
  <c r="Q49" i="9"/>
  <c r="Q257" i="9"/>
  <c r="Q258" i="9"/>
  <c r="Q78" i="9"/>
  <c r="Q259" i="9"/>
  <c r="Q242" i="9"/>
  <c r="Q272" i="9"/>
  <c r="Q66" i="9"/>
  <c r="Q268" i="9"/>
  <c r="Q30" i="9"/>
  <c r="Q231" i="9"/>
  <c r="Q59" i="9"/>
  <c r="Q232" i="9"/>
  <c r="Q103" i="9"/>
  <c r="Q294" i="9"/>
  <c r="Q115" i="9"/>
  <c r="Q296" i="9"/>
  <c r="Q117" i="9"/>
  <c r="Q119" i="9"/>
  <c r="Q149" i="9"/>
  <c r="Q68" i="9"/>
  <c r="Q246" i="9"/>
  <c r="Q227" i="9"/>
  <c r="Q87" i="9"/>
  <c r="Q69" i="9"/>
  <c r="Q306" i="9"/>
  <c r="Q43" i="9"/>
  <c r="Q256" i="9"/>
  <c r="Q250" i="9"/>
  <c r="Q133" i="9"/>
  <c r="Q285" i="9"/>
  <c r="Q75" i="9"/>
  <c r="Q96" i="9"/>
  <c r="Q29" i="9"/>
  <c r="Q236" i="9"/>
  <c r="Q114" i="9"/>
  <c r="Q31" i="9"/>
  <c r="Q273" i="9"/>
  <c r="Q17" i="9"/>
  <c r="Q198" i="9"/>
  <c r="Q223" i="9"/>
  <c r="Q200" i="9"/>
  <c r="Q299" i="9"/>
  <c r="Q228" i="9"/>
  <c r="Q154" i="9"/>
  <c r="Q307" i="9"/>
  <c r="Q209" i="9"/>
  <c r="Q71" i="9"/>
  <c r="Q178" i="9"/>
  <c r="Q253" i="9"/>
  <c r="Q24" i="9"/>
  <c r="Q25" i="9"/>
  <c r="Q91" i="9"/>
  <c r="Q129" i="9"/>
  <c r="Q131" i="9"/>
  <c r="Q180" i="9"/>
  <c r="Q284" i="9"/>
  <c r="Q134" i="9"/>
  <c r="Q241" i="9"/>
  <c r="Q216" i="9"/>
  <c r="Q135" i="9"/>
  <c r="Q137" i="9"/>
  <c r="Q77" i="9"/>
  <c r="Q97" i="9"/>
  <c r="Q192" i="9"/>
  <c r="Q100" i="9"/>
  <c r="Q238" i="9"/>
  <c r="Q266" i="9"/>
  <c r="Q204" i="9"/>
  <c r="Q165" i="9"/>
  <c r="Q290" i="9"/>
  <c r="Q291" i="9"/>
  <c r="Q61" i="9"/>
  <c r="Q197" i="9"/>
  <c r="Q18" i="9"/>
  <c r="Q63" i="9"/>
  <c r="Q222" i="9"/>
  <c r="Q118" i="9"/>
  <c r="Q233" i="9"/>
  <c r="Q106" i="9"/>
  <c r="Q126" i="9"/>
  <c r="Q170" i="9"/>
  <c r="Q247" i="9"/>
  <c r="Q151" i="9"/>
  <c r="Q153" i="9"/>
  <c r="Q305" i="9"/>
  <c r="Q22" i="9"/>
  <c r="Q202" i="9"/>
  <c r="Q301" i="9"/>
  <c r="Q248" i="9"/>
  <c r="Q128" i="9"/>
  <c r="Q263" i="9"/>
  <c r="Q150" i="9"/>
  <c r="Q174" i="9"/>
  <c r="Q176" i="9"/>
  <c r="Q41" i="9"/>
  <c r="Q179" i="9"/>
  <c r="Q159" i="9"/>
  <c r="Q181" i="9"/>
  <c r="Q109" i="9"/>
  <c r="Q183" i="9"/>
  <c r="Q270" i="9"/>
  <c r="Q48" i="9"/>
  <c r="Q136" i="9"/>
  <c r="Q138" i="9"/>
  <c r="Q140" i="9"/>
  <c r="Q121" i="9"/>
  <c r="Q193" i="9"/>
  <c r="Q195" i="9"/>
  <c r="Q112" i="9"/>
  <c r="Q206" i="9"/>
  <c r="Q215" i="9"/>
  <c r="Q260" i="9"/>
  <c r="Q101" i="9"/>
  <c r="Q292" i="9"/>
  <c r="Q261" i="9"/>
  <c r="Q167" i="9"/>
  <c r="Q62" i="9"/>
  <c r="Q64" i="9"/>
  <c r="Q146" i="9"/>
  <c r="Q19" i="9"/>
  <c r="Q169" i="9"/>
  <c r="Q33" i="9"/>
  <c r="Q67" i="9"/>
  <c r="Q275" i="9"/>
  <c r="Q229" i="9"/>
  <c r="Q105" i="9"/>
  <c r="Q201" i="9"/>
  <c r="Q40" i="9"/>
  <c r="P207" i="9"/>
  <c r="P37" i="9"/>
  <c r="P278" i="9"/>
  <c r="P212" i="9"/>
  <c r="P42" i="9"/>
  <c r="P255" i="9"/>
  <c r="P269" i="9"/>
  <c r="P214" i="9"/>
  <c r="P120" i="9"/>
  <c r="P230" i="9"/>
  <c r="P110" i="9"/>
  <c r="P49" i="9"/>
  <c r="P257" i="9"/>
  <c r="P258" i="9"/>
  <c r="P78" i="9"/>
  <c r="P259" i="9"/>
  <c r="P242" i="9"/>
  <c r="P272" i="9"/>
  <c r="P66" i="9"/>
  <c r="P268" i="9"/>
  <c r="P30" i="9"/>
  <c r="P231" i="9"/>
  <c r="P59" i="9"/>
  <c r="P232" i="9"/>
  <c r="P103" i="9"/>
  <c r="P294" i="9"/>
  <c r="P115" i="9"/>
  <c r="P296" i="9"/>
  <c r="P117" i="9"/>
  <c r="P119" i="9"/>
  <c r="P86" i="9"/>
  <c r="P149" i="9"/>
  <c r="P68" i="9"/>
  <c r="P246" i="9"/>
  <c r="P227" i="9"/>
  <c r="P87" i="9"/>
  <c r="P69" i="9"/>
  <c r="P306" i="9"/>
  <c r="P307" i="9"/>
  <c r="P130" i="9"/>
  <c r="P94" i="9"/>
  <c r="P79" i="9"/>
  <c r="P56" i="9"/>
  <c r="P262" i="9"/>
  <c r="P234" i="9"/>
  <c r="P265" i="9"/>
  <c r="P52" i="9"/>
  <c r="P122" i="9"/>
  <c r="P65" i="9"/>
  <c r="P203" i="9"/>
  <c r="P156" i="9"/>
  <c r="P209" i="9"/>
  <c r="P71" i="9"/>
  <c r="P178" i="9"/>
  <c r="P43" i="9"/>
  <c r="P256" i="9"/>
  <c r="P250" i="9"/>
  <c r="P283" i="9"/>
  <c r="P133" i="9"/>
  <c r="P95" i="9"/>
  <c r="P285" i="9"/>
  <c r="P287" i="9"/>
  <c r="P75" i="9"/>
  <c r="P76" i="9"/>
  <c r="P96" i="9"/>
  <c r="P29" i="9"/>
  <c r="P99" i="9"/>
  <c r="P236" i="9"/>
  <c r="P274" i="9"/>
  <c r="P114" i="9"/>
  <c r="P164" i="9"/>
  <c r="P31" i="9"/>
  <c r="P32" i="9"/>
  <c r="P273" i="9"/>
  <c r="P15" i="9"/>
  <c r="P17" i="9"/>
  <c r="P245" i="9"/>
  <c r="P198" i="9"/>
  <c r="P223" i="9"/>
  <c r="P147" i="9"/>
  <c r="P200" i="9"/>
  <c r="P36" i="9"/>
  <c r="P299" i="9"/>
  <c r="P300" i="9"/>
  <c r="P228" i="9"/>
  <c r="P152" i="9"/>
  <c r="P154" i="9"/>
  <c r="P128" i="9"/>
  <c r="P93" i="9"/>
  <c r="P38" i="9"/>
  <c r="P39" i="9"/>
  <c r="P13" i="9"/>
  <c r="P80" i="9"/>
  <c r="P107" i="9"/>
  <c r="P161" i="9"/>
  <c r="P163" i="9"/>
  <c r="P244" i="9"/>
  <c r="P123" i="9"/>
  <c r="P303" i="9"/>
  <c r="P253" i="9"/>
  <c r="N23" i="45" s="1"/>
  <c r="P24" i="9"/>
  <c r="P25" i="9"/>
  <c r="P91" i="9"/>
  <c r="P129" i="9"/>
  <c r="P131" i="9"/>
  <c r="P180" i="9"/>
  <c r="P284" i="9"/>
  <c r="P134" i="9"/>
  <c r="P241" i="9"/>
  <c r="P216" i="9"/>
  <c r="P135" i="9"/>
  <c r="P137" i="9"/>
  <c r="P77" i="9"/>
  <c r="P97" i="9"/>
  <c r="P192" i="9"/>
  <c r="P100" i="9"/>
  <c r="P238" i="9"/>
  <c r="P266" i="9"/>
  <c r="P204" i="9"/>
  <c r="P165" i="9"/>
  <c r="P290" i="9"/>
  <c r="P291" i="9"/>
  <c r="P61" i="9"/>
  <c r="P197" i="9"/>
  <c r="P18" i="9"/>
  <c r="P63" i="9"/>
  <c r="P222" i="9"/>
  <c r="P118" i="9"/>
  <c r="P233" i="9"/>
  <c r="P106" i="9"/>
  <c r="P126" i="9"/>
  <c r="P170" i="9"/>
  <c r="P247" i="9"/>
  <c r="P151" i="9"/>
  <c r="P153" i="9"/>
  <c r="P305" i="9"/>
  <c r="P22" i="9"/>
  <c r="P211" i="9"/>
  <c r="P45" i="9"/>
  <c r="P162" i="9"/>
  <c r="P157" i="9"/>
  <c r="P218" i="9"/>
  <c r="P295" i="9"/>
  <c r="P252" i="9"/>
  <c r="P205" i="9"/>
  <c r="P289" i="9"/>
  <c r="P199" i="9"/>
  <c r="P102" i="9"/>
  <c r="P85" i="9"/>
  <c r="P172" i="9"/>
  <c r="P174" i="9"/>
  <c r="P176" i="9"/>
  <c r="P41" i="9"/>
  <c r="P179" i="9"/>
  <c r="P73" i="9"/>
  <c r="P159" i="9"/>
  <c r="P181" i="9"/>
  <c r="P109" i="9"/>
  <c r="P183" i="9"/>
  <c r="P270" i="9"/>
  <c r="P48" i="9"/>
  <c r="P136" i="9"/>
  <c r="P138" i="9"/>
  <c r="P140" i="9"/>
  <c r="P121" i="9"/>
  <c r="P193" i="9"/>
  <c r="P195" i="9"/>
  <c r="P112" i="9"/>
  <c r="P206" i="9"/>
  <c r="P215" i="9"/>
  <c r="P260" i="9"/>
  <c r="P101" i="9"/>
  <c r="P292" i="9"/>
  <c r="P261" i="9"/>
  <c r="P167" i="9"/>
  <c r="P62" i="9"/>
  <c r="P64" i="9"/>
  <c r="P146" i="9"/>
  <c r="P19" i="9"/>
  <c r="P169" i="9"/>
  <c r="P33" i="9"/>
  <c r="P67" i="9"/>
  <c r="P202" i="9"/>
  <c r="P301" i="9"/>
  <c r="P275" i="9"/>
  <c r="P248" i="9"/>
  <c r="P229" i="9"/>
  <c r="P26" i="9"/>
  <c r="P10" i="9"/>
  <c r="P139" i="9"/>
  <c r="P44" i="9"/>
  <c r="P219" i="9"/>
  <c r="P116" i="9"/>
  <c r="P35" i="9"/>
  <c r="P155" i="9"/>
  <c r="P54" i="9"/>
  <c r="P60" i="9"/>
  <c r="P224" i="9"/>
  <c r="P171" i="9"/>
  <c r="P208" i="9"/>
  <c r="P210" i="9"/>
  <c r="P9" i="9"/>
  <c r="P72" i="9"/>
  <c r="P213" i="9"/>
  <c r="P280" i="9"/>
  <c r="P282" i="9"/>
  <c r="P182" i="9"/>
  <c r="P184" i="9"/>
  <c r="P271" i="9"/>
  <c r="P286" i="9"/>
  <c r="P50" i="9"/>
  <c r="P51" i="9"/>
  <c r="P189" i="9"/>
  <c r="P190" i="9"/>
  <c r="P194" i="9"/>
  <c r="P12" i="9"/>
  <c r="P217" i="9"/>
  <c r="P113" i="9"/>
  <c r="P14" i="9"/>
  <c r="P143" i="9"/>
  <c r="P57" i="9"/>
  <c r="P173" i="9"/>
  <c r="P145" i="9"/>
  <c r="P16" i="9"/>
  <c r="P237" i="9"/>
  <c r="P83" i="9"/>
  <c r="P168" i="9"/>
  <c r="P124" i="9"/>
  <c r="P251" i="9"/>
  <c r="P34" i="9"/>
  <c r="P225" i="9"/>
  <c r="P264" i="9"/>
  <c r="P249" i="9"/>
  <c r="P276" i="9"/>
  <c r="P21" i="9"/>
  <c r="P235" i="9"/>
  <c r="P27" i="9"/>
  <c r="P47" i="9"/>
  <c r="P53" i="9"/>
  <c r="P58" i="9"/>
  <c r="P104" i="9"/>
  <c r="P20" i="9"/>
  <c r="P302" i="9"/>
  <c r="P188" i="9"/>
  <c r="P267" i="9"/>
  <c r="P220" i="9"/>
  <c r="P125" i="9"/>
  <c r="P175" i="9"/>
  <c r="P70" i="9"/>
  <c r="P177" i="9"/>
  <c r="P279" i="9"/>
  <c r="P158" i="9"/>
  <c r="P92" i="9"/>
  <c r="P239" i="9"/>
  <c r="P132" i="9"/>
  <c r="P46" i="9"/>
  <c r="P185" i="9"/>
  <c r="P186" i="9"/>
  <c r="P74" i="9"/>
  <c r="P288" i="9"/>
  <c r="P111" i="9"/>
  <c r="P28" i="9"/>
  <c r="P191" i="9"/>
  <c r="P90" i="9"/>
  <c r="P243" i="9"/>
  <c r="P221" i="9"/>
  <c r="P141" i="9"/>
  <c r="P55" i="9"/>
  <c r="P144" i="9"/>
  <c r="P196" i="9"/>
  <c r="P89" i="9"/>
  <c r="P166" i="9"/>
  <c r="P293" i="9"/>
  <c r="P81" i="9"/>
  <c r="P84" i="9"/>
  <c r="P105" i="9"/>
  <c r="P263" i="9"/>
  <c r="P297" i="9"/>
  <c r="P148" i="9"/>
  <c r="P201" i="9"/>
  <c r="P150" i="9"/>
  <c r="P226" i="9"/>
  <c r="P304" i="9"/>
  <c r="P88" i="9"/>
  <c r="P40" i="9"/>
  <c r="P23" i="9"/>
  <c r="P108" i="9"/>
  <c r="P277" i="9"/>
  <c r="P127" i="9"/>
  <c r="P254" i="9"/>
  <c r="P281" i="9"/>
  <c r="P160" i="9"/>
  <c r="P240" i="9"/>
  <c r="P11" i="9"/>
  <c r="P187" i="9"/>
  <c r="P98" i="9"/>
  <c r="P142" i="9"/>
  <c r="P82" i="9"/>
  <c r="P298" i="9"/>
  <c r="N24" i="45" l="1"/>
  <c r="N26" i="45" s="1"/>
  <c r="R243" i="9"/>
  <c r="S243" i="9" s="1"/>
  <c r="R280" i="9"/>
  <c r="S280" i="9" s="1"/>
  <c r="R205" i="9"/>
  <c r="S205" i="9" s="1"/>
  <c r="R299" i="9"/>
  <c r="S299" i="9" s="1"/>
  <c r="R46" i="9"/>
  <c r="S46" i="9" s="1"/>
  <c r="R191" i="9"/>
  <c r="S191" i="9" s="1"/>
  <c r="R196" i="9"/>
  <c r="S196" i="9" s="1"/>
  <c r="R298" i="9"/>
  <c r="S298" i="9" s="1"/>
  <c r="R281" i="9"/>
  <c r="S281" i="9" s="1"/>
  <c r="R40" i="9"/>
  <c r="S40" i="9" s="1"/>
  <c r="R263" i="9"/>
  <c r="S263" i="9" s="1"/>
  <c r="R144" i="9"/>
  <c r="S144" i="9" s="1"/>
  <c r="R111" i="9"/>
  <c r="S111" i="9" s="1"/>
  <c r="R92" i="9"/>
  <c r="S92" i="9" s="1"/>
  <c r="R104" i="9"/>
  <c r="S104" i="9" s="1"/>
  <c r="R249" i="9"/>
  <c r="S249" i="9" s="1"/>
  <c r="R237" i="9"/>
  <c r="S237" i="9" s="1"/>
  <c r="R217" i="9"/>
  <c r="S217" i="9" s="1"/>
  <c r="R271" i="9"/>
  <c r="S271" i="9" s="1"/>
  <c r="R210" i="9"/>
  <c r="S210" i="9" s="1"/>
  <c r="R155" i="9"/>
  <c r="S155" i="9" s="1"/>
  <c r="R229" i="9"/>
  <c r="S229" i="9" s="1"/>
  <c r="R19" i="9"/>
  <c r="S19" i="9" s="1"/>
  <c r="R260" i="9"/>
  <c r="S260" i="9" s="1"/>
  <c r="R138" i="9"/>
  <c r="S138" i="9" s="1"/>
  <c r="R73" i="9"/>
  <c r="S73" i="9" s="1"/>
  <c r="R85" i="9"/>
  <c r="S85" i="9" s="1"/>
  <c r="R157" i="9"/>
  <c r="S157" i="9" s="1"/>
  <c r="R247" i="9"/>
  <c r="S247" i="9" s="1"/>
  <c r="R18" i="9"/>
  <c r="S18" i="9" s="1"/>
  <c r="R238" i="9"/>
  <c r="S238" i="9" s="1"/>
  <c r="R241" i="9"/>
  <c r="S241" i="9" s="1"/>
  <c r="R24" i="9"/>
  <c r="S24" i="9" s="1"/>
  <c r="R161" i="9"/>
  <c r="S161" i="9" s="1"/>
  <c r="R154" i="9"/>
  <c r="S154" i="9" s="1"/>
  <c r="R223" i="9"/>
  <c r="S223" i="9" s="1"/>
  <c r="R164" i="9"/>
  <c r="S164" i="9" s="1"/>
  <c r="R75" i="9"/>
  <c r="S75" i="9" s="1"/>
  <c r="R43" i="9"/>
  <c r="S43" i="9" s="1"/>
  <c r="R203" i="9"/>
  <c r="S203" i="9" s="1"/>
  <c r="R79" i="9"/>
  <c r="S79" i="9" s="1"/>
  <c r="R246" i="9"/>
  <c r="S246" i="9" s="1"/>
  <c r="R294" i="9"/>
  <c r="S294" i="9" s="1"/>
  <c r="R272" i="9"/>
  <c r="S272" i="9" s="1"/>
  <c r="R230" i="9"/>
  <c r="S230" i="9" s="1"/>
  <c r="R37" i="9"/>
  <c r="S37" i="9" s="1"/>
  <c r="R70" i="9"/>
  <c r="S70" i="9" s="1"/>
  <c r="R44" i="9"/>
  <c r="S44" i="9" s="1"/>
  <c r="R233" i="9"/>
  <c r="S233" i="9" s="1"/>
  <c r="R15" i="9"/>
  <c r="S15" i="9" s="1"/>
  <c r="R119" i="9"/>
  <c r="S119" i="9" s="1"/>
  <c r="R201" i="9"/>
  <c r="S201" i="9" s="1"/>
  <c r="R82" i="9"/>
  <c r="S82" i="9" s="1"/>
  <c r="R254" i="9"/>
  <c r="S254" i="9" s="1"/>
  <c r="R88" i="9"/>
  <c r="S88" i="9" s="1"/>
  <c r="R105" i="9"/>
  <c r="S105" i="9" s="1"/>
  <c r="R55" i="9"/>
  <c r="S55" i="9" s="1"/>
  <c r="R288" i="9"/>
  <c r="S288" i="9" s="1"/>
  <c r="R158" i="9"/>
  <c r="S158" i="9" s="1"/>
  <c r="R58" i="9"/>
  <c r="S58" i="9" s="1"/>
  <c r="R264" i="9"/>
  <c r="S264" i="9" s="1"/>
  <c r="R16" i="9"/>
  <c r="S16" i="9" s="1"/>
  <c r="R12" i="9"/>
  <c r="S12" i="9" s="1"/>
  <c r="R184" i="9"/>
  <c r="S184" i="9" s="1"/>
  <c r="R208" i="9"/>
  <c r="S208" i="9" s="1"/>
  <c r="R35" i="9"/>
  <c r="S35" i="9" s="1"/>
  <c r="R248" i="9"/>
  <c r="S248" i="9" s="1"/>
  <c r="R146" i="9"/>
  <c r="S146" i="9" s="1"/>
  <c r="R215" i="9"/>
  <c r="S215" i="9" s="1"/>
  <c r="R136" i="9"/>
  <c r="S136" i="9" s="1"/>
  <c r="R179" i="9"/>
  <c r="S179" i="9" s="1"/>
  <c r="R102" i="9"/>
  <c r="S102" i="9" s="1"/>
  <c r="R162" i="9"/>
  <c r="S162" i="9" s="1"/>
  <c r="R170" i="9"/>
  <c r="S170" i="9" s="1"/>
  <c r="R197" i="9"/>
  <c r="S197" i="9" s="1"/>
  <c r="R100" i="9"/>
  <c r="S100" i="9" s="1"/>
  <c r="R134" i="9"/>
  <c r="S134" i="9" s="1"/>
  <c r="R253" i="9"/>
  <c r="S253" i="9" s="1"/>
  <c r="R107" i="9"/>
  <c r="S107" i="9" s="1"/>
  <c r="R152" i="9"/>
  <c r="S152" i="9" s="1"/>
  <c r="R198" i="9"/>
  <c r="S198" i="9" s="1"/>
  <c r="R114" i="9"/>
  <c r="S114" i="9" s="1"/>
  <c r="R287" i="9"/>
  <c r="S287" i="9" s="1"/>
  <c r="R178" i="9"/>
  <c r="S178" i="9" s="1"/>
  <c r="R65" i="9"/>
  <c r="S65" i="9" s="1"/>
  <c r="R94" i="9"/>
  <c r="S94" i="9" s="1"/>
  <c r="R68" i="9"/>
  <c r="S68" i="9" s="1"/>
  <c r="R103" i="9"/>
  <c r="S103" i="9" s="1"/>
  <c r="R242" i="9"/>
  <c r="S242" i="9" s="1"/>
  <c r="R120" i="9"/>
  <c r="S120" i="9" s="1"/>
  <c r="R207" i="9"/>
  <c r="S207" i="9" s="1"/>
  <c r="R187" i="9"/>
  <c r="S187" i="9" s="1"/>
  <c r="R27" i="9"/>
  <c r="S27" i="9" s="1"/>
  <c r="R167" i="9"/>
  <c r="S167" i="9" s="1"/>
  <c r="R131" i="9"/>
  <c r="S131" i="9" s="1"/>
  <c r="R265" i="9"/>
  <c r="S265" i="9" s="1"/>
  <c r="R11" i="9"/>
  <c r="S11" i="9" s="1"/>
  <c r="R240" i="9"/>
  <c r="S240" i="9" s="1"/>
  <c r="R160" i="9"/>
  <c r="S160" i="9" s="1"/>
  <c r="R28" i="9"/>
  <c r="S28" i="9" s="1"/>
  <c r="R142" i="9"/>
  <c r="S142" i="9" s="1"/>
  <c r="R127" i="9"/>
  <c r="S127" i="9" s="1"/>
  <c r="R304" i="9"/>
  <c r="S304" i="9" s="1"/>
  <c r="R84" i="9"/>
  <c r="S84" i="9" s="1"/>
  <c r="R141" i="9"/>
  <c r="S141" i="9" s="1"/>
  <c r="R74" i="9"/>
  <c r="S74" i="9" s="1"/>
  <c r="R279" i="9"/>
  <c r="S279" i="9" s="1"/>
  <c r="R125" i="9"/>
  <c r="S125" i="9" s="1"/>
  <c r="R53" i="9"/>
  <c r="S53" i="9" s="1"/>
  <c r="R225" i="9"/>
  <c r="S225" i="9" s="1"/>
  <c r="R145" i="9"/>
  <c r="S145" i="9" s="1"/>
  <c r="R194" i="9"/>
  <c r="S194" i="9" s="1"/>
  <c r="R182" i="9"/>
  <c r="S182" i="9" s="1"/>
  <c r="R116" i="9"/>
  <c r="S116" i="9" s="1"/>
  <c r="R275" i="9"/>
  <c r="S275" i="9" s="1"/>
  <c r="R64" i="9"/>
  <c r="S64" i="9" s="1"/>
  <c r="R206" i="9"/>
  <c r="S206" i="9" s="1"/>
  <c r="R48" i="9"/>
  <c r="S48" i="9" s="1"/>
  <c r="R41" i="9"/>
  <c r="S41" i="9" s="1"/>
  <c r="R199" i="9"/>
  <c r="S199" i="9" s="1"/>
  <c r="R45" i="9"/>
  <c r="S45" i="9" s="1"/>
  <c r="R126" i="9"/>
  <c r="S126" i="9" s="1"/>
  <c r="R61" i="9"/>
  <c r="S61" i="9" s="1"/>
  <c r="R192" i="9"/>
  <c r="S192" i="9" s="1"/>
  <c r="R284" i="9"/>
  <c r="S284" i="9" s="1"/>
  <c r="R80" i="9"/>
  <c r="S80" i="9" s="1"/>
  <c r="R228" i="9"/>
  <c r="S228" i="9" s="1"/>
  <c r="R245" i="9"/>
  <c r="S245" i="9" s="1"/>
  <c r="R274" i="9"/>
  <c r="S274" i="9" s="1"/>
  <c r="R285" i="9"/>
  <c r="S285" i="9" s="1"/>
  <c r="R71" i="9"/>
  <c r="S71" i="9" s="1"/>
  <c r="R122" i="9"/>
  <c r="S122" i="9" s="1"/>
  <c r="R130" i="9"/>
  <c r="S130" i="9" s="1"/>
  <c r="R149" i="9"/>
  <c r="S149" i="9" s="1"/>
  <c r="R232" i="9"/>
  <c r="S232" i="9" s="1"/>
  <c r="R259" i="9"/>
  <c r="S259" i="9" s="1"/>
  <c r="R214" i="9"/>
  <c r="S214" i="9" s="1"/>
  <c r="R293" i="9"/>
  <c r="S293" i="9" s="1"/>
  <c r="R189" i="9"/>
  <c r="S189" i="9" s="1"/>
  <c r="R174" i="9"/>
  <c r="S174" i="9" s="1"/>
  <c r="R39" i="9"/>
  <c r="S39" i="9" s="1"/>
  <c r="R98" i="9"/>
  <c r="S98" i="9" s="1"/>
  <c r="R277" i="9"/>
  <c r="S277" i="9" s="1"/>
  <c r="R226" i="9"/>
  <c r="S226" i="9" s="1"/>
  <c r="R81" i="9"/>
  <c r="S81" i="9" s="1"/>
  <c r="R221" i="9"/>
  <c r="S221" i="9" s="1"/>
  <c r="R186" i="9"/>
  <c r="S186" i="9" s="1"/>
  <c r="R177" i="9"/>
  <c r="S177" i="9" s="1"/>
  <c r="R220" i="9"/>
  <c r="S220" i="9" s="1"/>
  <c r="R47" i="9"/>
  <c r="S47" i="9" s="1"/>
  <c r="R34" i="9"/>
  <c r="S34" i="9" s="1"/>
  <c r="R173" i="9"/>
  <c r="S173" i="9" s="1"/>
  <c r="R190" i="9"/>
  <c r="S190" i="9" s="1"/>
  <c r="R282" i="9"/>
  <c r="S282" i="9" s="1"/>
  <c r="R219" i="9"/>
  <c r="S219" i="9" s="1"/>
  <c r="R301" i="9"/>
  <c r="S301" i="9" s="1"/>
  <c r="R62" i="9"/>
  <c r="S62" i="9" s="1"/>
  <c r="R112" i="9"/>
  <c r="S112" i="9" s="1"/>
  <c r="R270" i="9"/>
  <c r="S270" i="9" s="1"/>
  <c r="R176" i="9"/>
  <c r="S176" i="9" s="1"/>
  <c r="R289" i="9"/>
  <c r="S289" i="9" s="1"/>
  <c r="R211" i="9"/>
  <c r="S211" i="9" s="1"/>
  <c r="R106" i="9"/>
  <c r="S106" i="9" s="1"/>
  <c r="R291" i="9"/>
  <c r="S291" i="9" s="1"/>
  <c r="R97" i="9"/>
  <c r="S97" i="9" s="1"/>
  <c r="R180" i="9"/>
  <c r="S180" i="9" s="1"/>
  <c r="R13" i="9"/>
  <c r="S13" i="9" s="1"/>
  <c r="R300" i="9"/>
  <c r="S300" i="9" s="1"/>
  <c r="R17" i="9"/>
  <c r="S17" i="9" s="1"/>
  <c r="R236" i="9"/>
  <c r="S236" i="9" s="1"/>
  <c r="R95" i="9"/>
  <c r="S95" i="9" s="1"/>
  <c r="R209" i="9"/>
  <c r="S209" i="9" s="1"/>
  <c r="R52" i="9"/>
  <c r="S52" i="9" s="1"/>
  <c r="R307" i="9"/>
  <c r="S307" i="9" s="1"/>
  <c r="R86" i="9"/>
  <c r="S86" i="9" s="1"/>
  <c r="R59" i="9"/>
  <c r="S59" i="9" s="1"/>
  <c r="R78" i="9"/>
  <c r="S78" i="9" s="1"/>
  <c r="R269" i="9"/>
  <c r="S269" i="9" s="1"/>
  <c r="R267" i="9"/>
  <c r="S267" i="9" s="1"/>
  <c r="R202" i="9"/>
  <c r="S202" i="9" s="1"/>
  <c r="R290" i="9"/>
  <c r="S290" i="9" s="1"/>
  <c r="R133" i="9"/>
  <c r="S133" i="9" s="1"/>
  <c r="R258" i="9"/>
  <c r="S258" i="9" s="1"/>
  <c r="R150" i="9"/>
  <c r="S150" i="9" s="1"/>
  <c r="R57" i="9"/>
  <c r="S57" i="9" s="1"/>
  <c r="R183" i="9"/>
  <c r="S183" i="9" s="1"/>
  <c r="R303" i="9"/>
  <c r="S303" i="9" s="1"/>
  <c r="R306" i="9"/>
  <c r="S306" i="9" s="1"/>
  <c r="R23" i="9"/>
  <c r="S23" i="9" s="1"/>
  <c r="R188" i="9"/>
  <c r="S188" i="9" s="1"/>
  <c r="R235" i="9"/>
  <c r="S235" i="9" s="1"/>
  <c r="R124" i="9"/>
  <c r="S124" i="9" s="1"/>
  <c r="R143" i="9"/>
  <c r="S143" i="9" s="1"/>
  <c r="R51" i="9"/>
  <c r="S51" i="9" s="1"/>
  <c r="R213" i="9"/>
  <c r="S213" i="9" s="1"/>
  <c r="R224" i="9"/>
  <c r="S224" i="9" s="1"/>
  <c r="R139" i="9"/>
  <c r="S139" i="9" s="1"/>
  <c r="R67" i="9"/>
  <c r="S67" i="9" s="1"/>
  <c r="R261" i="9"/>
  <c r="S261" i="9" s="1"/>
  <c r="R193" i="9"/>
  <c r="S193" i="9" s="1"/>
  <c r="R109" i="9"/>
  <c r="S109" i="9" s="1"/>
  <c r="R252" i="9"/>
  <c r="S252" i="9" s="1"/>
  <c r="R305" i="9"/>
  <c r="S305" i="9" s="1"/>
  <c r="R118" i="9"/>
  <c r="S118" i="9" s="1"/>
  <c r="R165" i="9"/>
  <c r="S165" i="9" s="1"/>
  <c r="R137" i="9"/>
  <c r="S137" i="9" s="1"/>
  <c r="R129" i="9"/>
  <c r="S129" i="9" s="1"/>
  <c r="R123" i="9"/>
  <c r="S123" i="9" s="1"/>
  <c r="R38" i="9"/>
  <c r="S38" i="9" s="1"/>
  <c r="R36" i="9"/>
  <c r="S36" i="9" s="1"/>
  <c r="R273" i="9"/>
  <c r="R29" i="9"/>
  <c r="S29" i="9" s="1"/>
  <c r="R283" i="9"/>
  <c r="S283" i="9" s="1"/>
  <c r="R234" i="9"/>
  <c r="S234" i="9" s="1"/>
  <c r="R69" i="9"/>
  <c r="S69" i="9" s="1"/>
  <c r="R117" i="9"/>
  <c r="S117" i="9" s="1"/>
  <c r="R30" i="9"/>
  <c r="S30" i="9" s="1"/>
  <c r="R257" i="9"/>
  <c r="S257" i="9" s="1"/>
  <c r="R42" i="9"/>
  <c r="S42" i="9" s="1"/>
  <c r="Q8" i="9"/>
  <c r="AB308" i="53"/>
  <c r="R108" i="9"/>
  <c r="S108" i="9" s="1"/>
  <c r="R251" i="9"/>
  <c r="S251" i="9" s="1"/>
  <c r="R195" i="9"/>
  <c r="S195" i="9" s="1"/>
  <c r="R77" i="9"/>
  <c r="S77" i="9" s="1"/>
  <c r="P8" i="9"/>
  <c r="AA308" i="53"/>
  <c r="R255" i="9"/>
  <c r="S255" i="9" s="1"/>
  <c r="R90" i="9"/>
  <c r="S90" i="9" s="1"/>
  <c r="R89" i="9"/>
  <c r="S89" i="9" s="1"/>
  <c r="R132" i="9"/>
  <c r="S132" i="9" s="1"/>
  <c r="R302" i="9"/>
  <c r="S302" i="9" s="1"/>
  <c r="R21" i="9"/>
  <c r="S21" i="9" s="1"/>
  <c r="R168" i="9"/>
  <c r="S168" i="9" s="1"/>
  <c r="R14" i="9"/>
  <c r="S14" i="9" s="1"/>
  <c r="R50" i="9"/>
  <c r="S50" i="9" s="1"/>
  <c r="R72" i="9"/>
  <c r="S72" i="9" s="1"/>
  <c r="R60" i="9"/>
  <c r="S60" i="9" s="1"/>
  <c r="R10" i="9"/>
  <c r="S10" i="9" s="1"/>
  <c r="R33" i="9"/>
  <c r="S33" i="9" s="1"/>
  <c r="R292" i="9"/>
  <c r="S292" i="9" s="1"/>
  <c r="R121" i="9"/>
  <c r="S121" i="9" s="1"/>
  <c r="R181" i="9"/>
  <c r="S181" i="9" s="1"/>
  <c r="R295" i="9"/>
  <c r="S295" i="9" s="1"/>
  <c r="R153" i="9"/>
  <c r="S153" i="9" s="1"/>
  <c r="R222" i="9"/>
  <c r="S222" i="9" s="1"/>
  <c r="R204" i="9"/>
  <c r="S204" i="9" s="1"/>
  <c r="R135" i="9"/>
  <c r="S135" i="9" s="1"/>
  <c r="R91" i="9"/>
  <c r="S91" i="9" s="1"/>
  <c r="R244" i="9"/>
  <c r="S244" i="9" s="1"/>
  <c r="R93" i="9"/>
  <c r="S93" i="9" s="1"/>
  <c r="R200" i="9"/>
  <c r="S200" i="9" s="1"/>
  <c r="R32" i="9"/>
  <c r="S32" i="9" s="1"/>
  <c r="R96" i="9"/>
  <c r="S96" i="9" s="1"/>
  <c r="R250" i="9"/>
  <c r="S250" i="9" s="1"/>
  <c r="R262" i="9"/>
  <c r="S262" i="9" s="1"/>
  <c r="R87" i="9"/>
  <c r="S87" i="9" s="1"/>
  <c r="R296" i="9"/>
  <c r="S296" i="9" s="1"/>
  <c r="R268" i="9"/>
  <c r="S268" i="9" s="1"/>
  <c r="R49" i="9"/>
  <c r="S49" i="9" s="1"/>
  <c r="R212" i="9"/>
  <c r="S212" i="9" s="1"/>
  <c r="R185" i="9"/>
  <c r="S185" i="9" s="1"/>
  <c r="R171" i="9"/>
  <c r="S171" i="9" s="1"/>
  <c r="R22" i="9"/>
  <c r="S22" i="9" s="1"/>
  <c r="R99" i="9"/>
  <c r="S99" i="9" s="1"/>
  <c r="R231" i="9"/>
  <c r="S231" i="9" s="1"/>
  <c r="R166" i="9"/>
  <c r="S166" i="9" s="1"/>
  <c r="R148" i="9"/>
  <c r="S148" i="9" s="1"/>
  <c r="R297" i="9"/>
  <c r="S297" i="9" s="1"/>
  <c r="R239" i="9"/>
  <c r="S239" i="9" s="1"/>
  <c r="R175" i="9"/>
  <c r="S175" i="9" s="1"/>
  <c r="R20" i="9"/>
  <c r="S20" i="9" s="1"/>
  <c r="R276" i="9"/>
  <c r="S276" i="9" s="1"/>
  <c r="R83" i="9"/>
  <c r="S83" i="9" s="1"/>
  <c r="R113" i="9"/>
  <c r="S113" i="9" s="1"/>
  <c r="R286" i="9"/>
  <c r="S286" i="9" s="1"/>
  <c r="R9" i="9"/>
  <c r="S9" i="9" s="1"/>
  <c r="R54" i="9"/>
  <c r="S54" i="9" s="1"/>
  <c r="R26" i="9"/>
  <c r="S26" i="9" s="1"/>
  <c r="R169" i="9"/>
  <c r="S169" i="9" s="1"/>
  <c r="R101" i="9"/>
  <c r="S101" i="9" s="1"/>
  <c r="R140" i="9"/>
  <c r="S140" i="9" s="1"/>
  <c r="R159" i="9"/>
  <c r="S159" i="9" s="1"/>
  <c r="R172" i="9"/>
  <c r="S172" i="9" s="1"/>
  <c r="R218" i="9"/>
  <c r="S218" i="9" s="1"/>
  <c r="R151" i="9"/>
  <c r="S151" i="9" s="1"/>
  <c r="R63" i="9"/>
  <c r="S63" i="9" s="1"/>
  <c r="R266" i="9"/>
  <c r="S266" i="9" s="1"/>
  <c r="R216" i="9"/>
  <c r="S216" i="9" s="1"/>
  <c r="R25" i="9"/>
  <c r="S25" i="9" s="1"/>
  <c r="R163" i="9"/>
  <c r="S163" i="9" s="1"/>
  <c r="R128" i="9"/>
  <c r="S128" i="9" s="1"/>
  <c r="R147" i="9"/>
  <c r="S147" i="9" s="1"/>
  <c r="R31" i="9"/>
  <c r="S31" i="9" s="1"/>
  <c r="R76" i="9"/>
  <c r="S76" i="9" s="1"/>
  <c r="R256" i="9"/>
  <c r="S256" i="9" s="1"/>
  <c r="R156" i="9"/>
  <c r="S156" i="9" s="1"/>
  <c r="R56" i="9"/>
  <c r="S56" i="9" s="1"/>
  <c r="R227" i="9"/>
  <c r="S227" i="9" s="1"/>
  <c r="R115" i="9"/>
  <c r="S115" i="9" s="1"/>
  <c r="R66" i="9"/>
  <c r="S66" i="9" s="1"/>
  <c r="R110" i="9"/>
  <c r="S110" i="9" s="1"/>
  <c r="R278" i="9"/>
  <c r="S278" i="9" s="1"/>
  <c r="Q308" i="9" l="1"/>
  <c r="S273" i="9"/>
  <c r="P308" i="9"/>
  <c r="S8" i="9" l="1"/>
  <c r="R308" i="9"/>
  <c r="V4" i="9" s="1"/>
  <c r="T114" i="9" l="1"/>
  <c r="U114" i="9" s="1"/>
  <c r="T238" i="9"/>
  <c r="U238" i="9" s="1"/>
  <c r="T261" i="9"/>
  <c r="U261" i="9" s="1"/>
  <c r="T258" i="9"/>
  <c r="U258" i="9" s="1"/>
  <c r="T112" i="9"/>
  <c r="U112" i="9" s="1"/>
  <c r="T212" i="9"/>
  <c r="U212" i="9" s="1"/>
  <c r="T61" i="9"/>
  <c r="U61" i="9" s="1"/>
  <c r="T26" i="9"/>
  <c r="U26" i="9" s="1"/>
  <c r="T138" i="9"/>
  <c r="U138" i="9" s="1"/>
  <c r="T43" i="9"/>
  <c r="U43" i="9" s="1"/>
  <c r="T140" i="9"/>
  <c r="U140" i="9" s="1"/>
  <c r="T14" i="9"/>
  <c r="U14" i="9" s="1"/>
  <c r="T150" i="9"/>
  <c r="U150" i="9" s="1"/>
  <c r="T207" i="9"/>
  <c r="U207" i="9" s="1"/>
  <c r="T292" i="9"/>
  <c r="U292" i="9" s="1"/>
  <c r="T164" i="9"/>
  <c r="U164" i="9" s="1"/>
  <c r="T147" i="9"/>
  <c r="U147" i="9" s="1"/>
  <c r="T113" i="9"/>
  <c r="U113" i="9" s="1"/>
  <c r="T270" i="9"/>
  <c r="U270" i="9" s="1"/>
  <c r="T202" i="9"/>
  <c r="U202" i="9" s="1"/>
  <c r="T72" i="9"/>
  <c r="U72" i="9" s="1"/>
  <c r="T286" i="9"/>
  <c r="U286" i="9" s="1"/>
  <c r="T123" i="9"/>
  <c r="U123" i="9" s="1"/>
  <c r="T251" i="9"/>
  <c r="U251" i="9" s="1"/>
  <c r="T161" i="9"/>
  <c r="U161" i="9" s="1"/>
  <c r="T119" i="9"/>
  <c r="U119" i="9" s="1"/>
  <c r="T130" i="9"/>
  <c r="U130" i="9" s="1"/>
  <c r="T148" i="9"/>
  <c r="U148" i="9" s="1"/>
  <c r="T284" i="9"/>
  <c r="U284" i="9" s="1"/>
  <c r="T195" i="9"/>
  <c r="U195" i="9" s="1"/>
  <c r="T48" i="9"/>
  <c r="U48" i="9" s="1"/>
  <c r="T83" i="9"/>
  <c r="U83" i="9" s="1"/>
  <c r="T107" i="9"/>
  <c r="U107" i="9" s="1"/>
  <c r="T57" i="9"/>
  <c r="U57" i="9" s="1"/>
  <c r="T168" i="9"/>
  <c r="U168" i="9" s="1"/>
  <c r="T18" i="9"/>
  <c r="U18" i="9" s="1"/>
  <c r="T205" i="9"/>
  <c r="U205" i="9" s="1"/>
  <c r="T185" i="9"/>
  <c r="U185" i="9" s="1"/>
  <c r="T105" i="9"/>
  <c r="U105" i="9" s="1"/>
  <c r="T303" i="9"/>
  <c r="U303" i="9" s="1"/>
  <c r="T53" i="9"/>
  <c r="U53" i="9" s="1"/>
  <c r="T215" i="9"/>
  <c r="U215" i="9" s="1"/>
  <c r="T225" i="9"/>
  <c r="U225" i="9" s="1"/>
  <c r="T283" i="9"/>
  <c r="U283" i="9" s="1"/>
  <c r="T137" i="9"/>
  <c r="U137" i="9" s="1"/>
  <c r="T246" i="9"/>
  <c r="U246" i="9" s="1"/>
  <c r="T278" i="9"/>
  <c r="U278" i="9" s="1"/>
  <c r="T117" i="9"/>
  <c r="U117" i="9" s="1"/>
  <c r="T59" i="9"/>
  <c r="U59" i="9" s="1"/>
  <c r="T267" i="9"/>
  <c r="U267" i="9" s="1"/>
  <c r="T156" i="9"/>
  <c r="U156" i="9" s="1"/>
  <c r="T124" i="9"/>
  <c r="U124" i="9" s="1"/>
  <c r="T25" i="9"/>
  <c r="U25" i="9" s="1"/>
  <c r="T151" i="9"/>
  <c r="U151" i="9" s="1"/>
  <c r="T266" i="9"/>
  <c r="U266" i="9" s="1"/>
  <c r="T109" i="9"/>
  <c r="U109" i="9" s="1"/>
  <c r="T222" i="9"/>
  <c r="U222" i="9" s="1"/>
  <c r="T211" i="9"/>
  <c r="U211" i="9" s="1"/>
  <c r="T55" i="9"/>
  <c r="U55" i="9" s="1"/>
  <c r="T264" i="9"/>
  <c r="U264" i="9" s="1"/>
  <c r="T99" i="9"/>
  <c r="U99" i="9" s="1"/>
  <c r="T11" i="9"/>
  <c r="U11" i="9" s="1"/>
  <c r="T243" i="9"/>
  <c r="U243" i="9" s="1"/>
  <c r="T143" i="9"/>
  <c r="U143" i="9" s="1"/>
  <c r="T20" i="9"/>
  <c r="U20" i="9" s="1"/>
  <c r="T187" i="9"/>
  <c r="U187" i="9" s="1"/>
  <c r="T44" i="9"/>
  <c r="U44" i="9" s="1"/>
  <c r="T127" i="9"/>
  <c r="U127" i="9" s="1"/>
  <c r="T149" i="9"/>
  <c r="U149" i="9" s="1"/>
  <c r="T24" i="9"/>
  <c r="U24" i="9" s="1"/>
  <c r="T232" i="9"/>
  <c r="U232" i="9" s="1"/>
  <c r="T196" i="9"/>
  <c r="U196" i="9" s="1"/>
  <c r="T87" i="9"/>
  <c r="U87" i="9" s="1"/>
  <c r="T157" i="9"/>
  <c r="U157" i="9" s="1"/>
  <c r="T234" i="9"/>
  <c r="U234" i="9" s="1"/>
  <c r="T167" i="9"/>
  <c r="U167" i="9" s="1"/>
  <c r="T16" i="9"/>
  <c r="U16" i="9" s="1"/>
  <c r="T93" i="9"/>
  <c r="U93" i="9" s="1"/>
  <c r="T192" i="9"/>
  <c r="U192" i="9" s="1"/>
  <c r="T260" i="9"/>
  <c r="U260" i="9" s="1"/>
  <c r="T204" i="9"/>
  <c r="U204" i="9" s="1"/>
  <c r="T134" i="9"/>
  <c r="U134" i="9" s="1"/>
  <c r="T227" i="9"/>
  <c r="U227" i="9" s="1"/>
  <c r="T184" i="9"/>
  <c r="U184" i="9" s="1"/>
  <c r="T118" i="9"/>
  <c r="U118" i="9" s="1"/>
  <c r="T86" i="9"/>
  <c r="U86" i="9" s="1"/>
  <c r="T208" i="9"/>
  <c r="U208" i="9" s="1"/>
  <c r="T160" i="9"/>
  <c r="U160" i="9" s="1"/>
  <c r="T257" i="9"/>
  <c r="U257" i="9" s="1"/>
  <c r="T80" i="9"/>
  <c r="U80" i="9" s="1"/>
  <c r="T237" i="9"/>
  <c r="U237" i="9" s="1"/>
  <c r="T122" i="9"/>
  <c r="U122" i="9" s="1"/>
  <c r="T68" i="9"/>
  <c r="U68" i="9" s="1"/>
  <c r="T194" i="9"/>
  <c r="U194" i="9" s="1"/>
  <c r="T100" i="9"/>
  <c r="U100" i="9" s="1"/>
  <c r="T63" i="9"/>
  <c r="U63" i="9" s="1"/>
  <c r="T298" i="9"/>
  <c r="U298" i="9" s="1"/>
  <c r="T275" i="9"/>
  <c r="U275" i="9" s="1"/>
  <c r="T145" i="9"/>
  <c r="U145" i="9" s="1"/>
  <c r="T226" i="9"/>
  <c r="U226" i="9" s="1"/>
  <c r="T73" i="9"/>
  <c r="U73" i="9" s="1"/>
  <c r="T239" i="9"/>
  <c r="U239" i="9" s="1"/>
  <c r="T304" i="9"/>
  <c r="U304" i="9" s="1"/>
  <c r="T110" i="9"/>
  <c r="U110" i="9" s="1"/>
  <c r="T166" i="9"/>
  <c r="U166" i="9" s="1"/>
  <c r="T254" i="9"/>
  <c r="U254" i="9" s="1"/>
  <c r="T46" i="9"/>
  <c r="U46" i="9" s="1"/>
  <c r="T85" i="9"/>
  <c r="U85" i="9" s="1"/>
  <c r="T294" i="9"/>
  <c r="U294" i="9" s="1"/>
  <c r="T115" i="9"/>
  <c r="U115" i="9" s="1"/>
  <c r="T276" i="9"/>
  <c r="U276" i="9" s="1"/>
  <c r="T158" i="9"/>
  <c r="U158" i="9" s="1"/>
  <c r="T81" i="9"/>
  <c r="U81" i="9" s="1"/>
  <c r="T125" i="9"/>
  <c r="U125" i="9" s="1"/>
  <c r="T96" i="9"/>
  <c r="U96" i="9" s="1"/>
  <c r="T52" i="9"/>
  <c r="U52" i="9" s="1"/>
  <c r="T92" i="9"/>
  <c r="U92" i="9" s="1"/>
  <c r="T41" i="9"/>
  <c r="U41" i="9" s="1"/>
  <c r="T38" i="9"/>
  <c r="U38" i="9" s="1"/>
  <c r="T271" i="9"/>
  <c r="U271" i="9" s="1"/>
  <c r="T22" i="9"/>
  <c r="U22" i="9" s="1"/>
  <c r="T248" i="9"/>
  <c r="U248" i="9" s="1"/>
  <c r="T8" i="9"/>
  <c r="U8" i="9" s="1"/>
  <c r="T139" i="9"/>
  <c r="U139" i="9" s="1"/>
  <c r="T10" i="9"/>
  <c r="U10" i="9" s="1"/>
  <c r="T144" i="9"/>
  <c r="U144" i="9" s="1"/>
  <c r="T209" i="9"/>
  <c r="U209" i="9" s="1"/>
  <c r="T62" i="9"/>
  <c r="U62" i="9" s="1"/>
  <c r="T37" i="9"/>
  <c r="U37" i="9" s="1"/>
  <c r="T172" i="9"/>
  <c r="U172" i="9" s="1"/>
  <c r="T141" i="9"/>
  <c r="U141" i="9" s="1"/>
  <c r="T245" i="9"/>
  <c r="U245" i="9" s="1"/>
  <c r="T306" i="9"/>
  <c r="U306" i="9" s="1"/>
  <c r="T154" i="9"/>
  <c r="U154" i="9" s="1"/>
  <c r="T216" i="9"/>
  <c r="U216" i="9" s="1"/>
  <c r="T219" i="9"/>
  <c r="U219" i="9" s="1"/>
  <c r="T289" i="9"/>
  <c r="U289" i="9" s="1"/>
  <c r="T198" i="9"/>
  <c r="U198" i="9" s="1"/>
  <c r="T51" i="9"/>
  <c r="U51" i="9" s="1"/>
  <c r="T111" i="9"/>
  <c r="U111" i="9" s="1"/>
  <c r="T98" i="9"/>
  <c r="U98" i="9" s="1"/>
  <c r="T95" i="9"/>
  <c r="U95" i="9" s="1"/>
  <c r="T252" i="9"/>
  <c r="U252" i="9" s="1"/>
  <c r="T295" i="9"/>
  <c r="U295" i="9" s="1"/>
  <c r="T240" i="9"/>
  <c r="U240" i="9" s="1"/>
  <c r="T84" i="9"/>
  <c r="U84" i="9" s="1"/>
  <c r="T181" i="9"/>
  <c r="U181" i="9" s="1"/>
  <c r="T262" i="9"/>
  <c r="U262" i="9" s="1"/>
  <c r="T71" i="9"/>
  <c r="U71" i="9" s="1"/>
  <c r="T77" i="9"/>
  <c r="U77" i="9" s="1"/>
  <c r="T50" i="9"/>
  <c r="U50" i="9" s="1"/>
  <c r="T176" i="9"/>
  <c r="U176" i="9" s="1"/>
  <c r="T203" i="9"/>
  <c r="U203" i="9" s="1"/>
  <c r="T129" i="9"/>
  <c r="U129" i="9" s="1"/>
  <c r="T74" i="9"/>
  <c r="U74" i="9" s="1"/>
  <c r="T214" i="9"/>
  <c r="U214" i="9" s="1"/>
  <c r="T173" i="9"/>
  <c r="U173" i="9" s="1"/>
  <c r="T39" i="9"/>
  <c r="U39" i="9" s="1"/>
  <c r="T102" i="9"/>
  <c r="U102" i="9" s="1"/>
  <c r="T221" i="9"/>
  <c r="U221" i="9" s="1"/>
  <c r="T256" i="9"/>
  <c r="U256" i="9" s="1"/>
  <c r="T242" i="9"/>
  <c r="U242" i="9" s="1"/>
  <c r="T34" i="9"/>
  <c r="U34" i="9" s="1"/>
  <c r="T273" i="9"/>
  <c r="U273" i="9" s="1"/>
  <c r="T27" i="9"/>
  <c r="U27" i="9" s="1"/>
  <c r="T76" i="9"/>
  <c r="U76" i="9" s="1"/>
  <c r="T235" i="9"/>
  <c r="U235" i="9" s="1"/>
  <c r="T188" i="9"/>
  <c r="U188" i="9" s="1"/>
  <c r="T255" i="9"/>
  <c r="U255" i="9" s="1"/>
  <c r="T263" i="9"/>
  <c r="U263" i="9" s="1"/>
  <c r="T179" i="9"/>
  <c r="U179" i="9" s="1"/>
  <c r="T131" i="9"/>
  <c r="U131" i="9" s="1"/>
  <c r="T128" i="9"/>
  <c r="U128" i="9" s="1"/>
  <c r="T162" i="9"/>
  <c r="U162" i="9" s="1"/>
  <c r="T228" i="9"/>
  <c r="U228" i="9" s="1"/>
  <c r="T297" i="9"/>
  <c r="U297" i="9" s="1"/>
  <c r="T42" i="9"/>
  <c r="U42" i="9" s="1"/>
  <c r="T155" i="9"/>
  <c r="U155" i="9" s="1"/>
  <c r="T106" i="9"/>
  <c r="U106" i="9" s="1"/>
  <c r="T33" i="9"/>
  <c r="U33" i="9" s="1"/>
  <c r="T274" i="9"/>
  <c r="U274" i="9" s="1"/>
  <c r="T171" i="9"/>
  <c r="U171" i="9" s="1"/>
  <c r="T200" i="9"/>
  <c r="U200" i="9" s="1"/>
  <c r="T300" i="9"/>
  <c r="U300" i="9" s="1"/>
  <c r="T197" i="9"/>
  <c r="U197" i="9" s="1"/>
  <c r="T66" i="9"/>
  <c r="U66" i="9" s="1"/>
  <c r="T233" i="9"/>
  <c r="U233" i="9" s="1"/>
  <c r="T88" i="9"/>
  <c r="U88" i="9" s="1"/>
  <c r="T31" i="9"/>
  <c r="U31" i="9" s="1"/>
  <c r="T199" i="9"/>
  <c r="U199" i="9" s="1"/>
  <c r="T29" i="9"/>
  <c r="U29" i="9" s="1"/>
  <c r="T56" i="9"/>
  <c r="U56" i="9" s="1"/>
  <c r="T182" i="9"/>
  <c r="U182" i="9" s="1"/>
  <c r="T223" i="9"/>
  <c r="U223" i="9" s="1"/>
  <c r="T104" i="9"/>
  <c r="U104" i="9" s="1"/>
  <c r="T265" i="9"/>
  <c r="U265" i="9" s="1"/>
  <c r="T82" i="9"/>
  <c r="U82" i="9" s="1"/>
  <c r="T170" i="9"/>
  <c r="U170" i="9" s="1"/>
  <c r="T224" i="9"/>
  <c r="U224" i="9" s="1"/>
  <c r="T191" i="9"/>
  <c r="U191" i="9" s="1"/>
  <c r="T121" i="9"/>
  <c r="U121" i="9" s="1"/>
  <c r="T19" i="9"/>
  <c r="U19" i="9" s="1"/>
  <c r="T165" i="9"/>
  <c r="U165" i="9" s="1"/>
  <c r="T183" i="9"/>
  <c r="U183" i="9" s="1"/>
  <c r="T279" i="9"/>
  <c r="U279" i="9" s="1"/>
  <c r="T280" i="9"/>
  <c r="U280" i="9" s="1"/>
  <c r="T305" i="9"/>
  <c r="U305" i="9" s="1"/>
  <c r="T91" i="9"/>
  <c r="U91" i="9" s="1"/>
  <c r="T201" i="9"/>
  <c r="U201" i="9" s="1"/>
  <c r="T35" i="9"/>
  <c r="U35" i="9" s="1"/>
  <c r="T47" i="9"/>
  <c r="U47" i="9" s="1"/>
  <c r="T177" i="9"/>
  <c r="U177" i="9" s="1"/>
  <c r="T58" i="9"/>
  <c r="U58" i="9" s="1"/>
  <c r="T101" i="9"/>
  <c r="U101" i="9" s="1"/>
  <c r="T90" i="9"/>
  <c r="U90" i="9" s="1"/>
  <c r="T9" i="9"/>
  <c r="U9" i="9" s="1"/>
  <c r="T142" i="9"/>
  <c r="U142" i="9" s="1"/>
  <c r="T152" i="9"/>
  <c r="U152" i="9" s="1"/>
  <c r="T64" i="9"/>
  <c r="U64" i="9" s="1"/>
  <c r="T30" i="9"/>
  <c r="U30" i="9" s="1"/>
  <c r="T36" i="9"/>
  <c r="U36" i="9" s="1"/>
  <c r="T206" i="9"/>
  <c r="U206" i="9" s="1"/>
  <c r="T146" i="9"/>
  <c r="U146" i="9" s="1"/>
  <c r="T175" i="9"/>
  <c r="U175" i="9" s="1"/>
  <c r="T210" i="9"/>
  <c r="U210" i="9" s="1"/>
  <c r="T253" i="9"/>
  <c r="T249" i="9"/>
  <c r="U249" i="9" s="1"/>
  <c r="T163" i="9"/>
  <c r="U163" i="9" s="1"/>
  <c r="T133" i="9"/>
  <c r="U133" i="9" s="1"/>
  <c r="T75" i="9"/>
  <c r="U75" i="9" s="1"/>
  <c r="T180" i="9"/>
  <c r="U180" i="9" s="1"/>
  <c r="T67" i="9"/>
  <c r="U67" i="9" s="1"/>
  <c r="T120" i="9"/>
  <c r="U120" i="9" s="1"/>
  <c r="T247" i="9"/>
  <c r="U247" i="9" s="1"/>
  <c r="T132" i="9"/>
  <c r="U132" i="9" s="1"/>
  <c r="T136" i="9"/>
  <c r="U136" i="9" s="1"/>
  <c r="T49" i="9"/>
  <c r="U49" i="9" s="1"/>
  <c r="T190" i="9"/>
  <c r="U190" i="9" s="1"/>
  <c r="T178" i="9"/>
  <c r="U178" i="9" s="1"/>
  <c r="T186" i="9"/>
  <c r="U186" i="9" s="1"/>
  <c r="T13" i="9"/>
  <c r="U13" i="9" s="1"/>
  <c r="T32" i="9"/>
  <c r="U32" i="9" s="1"/>
  <c r="T159" i="9"/>
  <c r="U159" i="9" s="1"/>
  <c r="T230" i="9"/>
  <c r="U230" i="9" s="1"/>
  <c r="T78" i="9"/>
  <c r="U78" i="9" s="1"/>
  <c r="T301" i="9"/>
  <c r="U301" i="9" s="1"/>
  <c r="T213" i="9"/>
  <c r="U213" i="9" s="1"/>
  <c r="T268" i="9"/>
  <c r="U268" i="9" s="1"/>
  <c r="T296" i="9"/>
  <c r="U296" i="9" s="1"/>
  <c r="T70" i="9"/>
  <c r="U70" i="9" s="1"/>
  <c r="T236" i="9"/>
  <c r="U236" i="9" s="1"/>
  <c r="T299" i="9"/>
  <c r="U299" i="9" s="1"/>
  <c r="T12" i="9"/>
  <c r="U12" i="9" s="1"/>
  <c r="T174" i="9"/>
  <c r="U174" i="9" s="1"/>
  <c r="T302" i="9"/>
  <c r="U302" i="9" s="1"/>
  <c r="T153" i="9"/>
  <c r="U153" i="9" s="1"/>
  <c r="T65" i="9"/>
  <c r="U65" i="9" s="1"/>
  <c r="T17" i="9"/>
  <c r="U17" i="9" s="1"/>
  <c r="T40" i="9"/>
  <c r="U40" i="9" s="1"/>
  <c r="T241" i="9"/>
  <c r="U241" i="9" s="1"/>
  <c r="T231" i="9"/>
  <c r="U231" i="9" s="1"/>
  <c r="T116" i="9"/>
  <c r="U116" i="9" s="1"/>
  <c r="T89" i="9"/>
  <c r="U89" i="9" s="1"/>
  <c r="T281" i="9"/>
  <c r="U281" i="9" s="1"/>
  <c r="T45" i="9"/>
  <c r="U45" i="9" s="1"/>
  <c r="T277" i="9"/>
  <c r="U277" i="9" s="1"/>
  <c r="T217" i="9"/>
  <c r="U217" i="9" s="1"/>
  <c r="T282" i="9"/>
  <c r="U282" i="9" s="1"/>
  <c r="T288" i="9"/>
  <c r="U288" i="9" s="1"/>
  <c r="T244" i="9"/>
  <c r="U244" i="9" s="1"/>
  <c r="T193" i="9"/>
  <c r="U193" i="9" s="1"/>
  <c r="T220" i="9"/>
  <c r="U220" i="9" s="1"/>
  <c r="T135" i="9"/>
  <c r="U135" i="9" s="1"/>
  <c r="T307" i="9"/>
  <c r="U307" i="9" s="1"/>
  <c r="T218" i="9"/>
  <c r="U218" i="9" s="1"/>
  <c r="T54" i="9"/>
  <c r="U54" i="9" s="1"/>
  <c r="T189" i="9"/>
  <c r="U189" i="9" s="1"/>
  <c r="T259" i="9"/>
  <c r="U259" i="9" s="1"/>
  <c r="T79" i="9"/>
  <c r="U79" i="9" s="1"/>
  <c r="T60" i="9"/>
  <c r="U60" i="9" s="1"/>
  <c r="T108" i="9"/>
  <c r="U108" i="9" s="1"/>
  <c r="T15" i="9"/>
  <c r="U15" i="9" s="1"/>
  <c r="T94" i="9"/>
  <c r="U94" i="9" s="1"/>
  <c r="T290" i="9"/>
  <c r="U290" i="9" s="1"/>
  <c r="T103" i="9"/>
  <c r="U103" i="9" s="1"/>
  <c r="T287" i="9"/>
  <c r="U287" i="9" s="1"/>
  <c r="T126" i="9"/>
  <c r="U126" i="9" s="1"/>
  <c r="T250" i="9"/>
  <c r="U250" i="9" s="1"/>
  <c r="T285" i="9"/>
  <c r="U285" i="9" s="1"/>
  <c r="T229" i="9"/>
  <c r="U229" i="9" s="1"/>
  <c r="T272" i="9"/>
  <c r="U272" i="9" s="1"/>
  <c r="T28" i="9"/>
  <c r="U28" i="9" s="1"/>
  <c r="T21" i="9"/>
  <c r="U21" i="9" s="1"/>
  <c r="T169" i="9"/>
  <c r="U169" i="9" s="1"/>
  <c r="T97" i="9"/>
  <c r="U97" i="9" s="1"/>
  <c r="T291" i="9"/>
  <c r="U291" i="9" s="1"/>
  <c r="T23" i="9"/>
  <c r="U23" i="9" s="1"/>
  <c r="T293" i="9"/>
  <c r="U293" i="9" s="1"/>
  <c r="T269" i="9"/>
  <c r="U269" i="9" s="1"/>
  <c r="T69" i="9"/>
  <c r="U69" i="9" s="1"/>
  <c r="U253" i="9" l="1"/>
  <c r="N27" i="45"/>
  <c r="N29" i="45" s="1"/>
  <c r="I30" i="45" s="1"/>
  <c r="V153" i="9"/>
  <c r="X153" i="9" s="1"/>
  <c r="Y153" i="9" s="1"/>
  <c r="V191" i="9"/>
  <c r="X191" i="9" s="1"/>
  <c r="Y191" i="9" s="1"/>
  <c r="V300" i="9"/>
  <c r="X300" i="9" s="1"/>
  <c r="Y300" i="9" s="1"/>
  <c r="V297" i="9"/>
  <c r="X297" i="9" s="1"/>
  <c r="Y297" i="9" s="1"/>
  <c r="V188" i="9"/>
  <c r="X188" i="9" s="1"/>
  <c r="Y188" i="9" s="1"/>
  <c r="V221" i="9"/>
  <c r="X221" i="9" s="1"/>
  <c r="Y221" i="9" s="1"/>
  <c r="V176" i="9"/>
  <c r="X176" i="9" s="1"/>
  <c r="Y176" i="9" s="1"/>
  <c r="V295" i="9"/>
  <c r="X295" i="9" s="1"/>
  <c r="Y295" i="9" s="1"/>
  <c r="V219" i="9"/>
  <c r="X219" i="9" s="1"/>
  <c r="Y219" i="9" s="1"/>
  <c r="V62" i="9"/>
  <c r="X62" i="9" s="1"/>
  <c r="Y62" i="9" s="1"/>
  <c r="V271" i="9"/>
  <c r="X271" i="9" s="1"/>
  <c r="Y271" i="9" s="1"/>
  <c r="V158" i="9"/>
  <c r="X158" i="9" s="1"/>
  <c r="Y158" i="9" s="1"/>
  <c r="V110" i="9"/>
  <c r="X110" i="9" s="1"/>
  <c r="Y110" i="9" s="1"/>
  <c r="V63" i="9"/>
  <c r="X63" i="9" s="1"/>
  <c r="Y63" i="9" s="1"/>
  <c r="V160" i="9"/>
  <c r="X160" i="9" s="1"/>
  <c r="Y160" i="9" s="1"/>
  <c r="V260" i="9"/>
  <c r="X260" i="9" s="1"/>
  <c r="Y260" i="9" s="1"/>
  <c r="V196" i="9"/>
  <c r="X196" i="9" s="1"/>
  <c r="Y196" i="9" s="1"/>
  <c r="V143" i="9"/>
  <c r="X143" i="9" s="1"/>
  <c r="Y143" i="9" s="1"/>
  <c r="V109" i="9"/>
  <c r="X109" i="9" s="1"/>
  <c r="Y109" i="9" s="1"/>
  <c r="V117" i="9"/>
  <c r="X117" i="9" s="1"/>
  <c r="Y117" i="9" s="1"/>
  <c r="V303" i="9"/>
  <c r="X303" i="9" s="1"/>
  <c r="Y303" i="9" s="1"/>
  <c r="V83" i="9"/>
  <c r="X83" i="9" s="1"/>
  <c r="Y83" i="9" s="1"/>
  <c r="V251" i="9"/>
  <c r="X251" i="9" s="1"/>
  <c r="Y251" i="9" s="1"/>
  <c r="V164" i="9"/>
  <c r="X164" i="9" s="1"/>
  <c r="Y164" i="9" s="1"/>
  <c r="V26" i="9"/>
  <c r="X26" i="9" s="1"/>
  <c r="Y26" i="9" s="1"/>
  <c r="V281" i="9"/>
  <c r="X281" i="9" s="1"/>
  <c r="Y281" i="9" s="1"/>
  <c r="V175" i="9"/>
  <c r="X175" i="9" s="1"/>
  <c r="Y175" i="9" s="1"/>
  <c r="V79" i="9"/>
  <c r="X79" i="9" s="1"/>
  <c r="Y79" i="9" s="1"/>
  <c r="V193" i="9"/>
  <c r="X193" i="9" s="1"/>
  <c r="Y193" i="9" s="1"/>
  <c r="V89" i="9"/>
  <c r="X89" i="9" s="1"/>
  <c r="Y89" i="9" s="1"/>
  <c r="V302" i="9"/>
  <c r="X302" i="9" s="1"/>
  <c r="Y302" i="9" s="1"/>
  <c r="V213" i="9"/>
  <c r="X213" i="9" s="1"/>
  <c r="Y213" i="9" s="1"/>
  <c r="V178" i="9"/>
  <c r="X178" i="9" s="1"/>
  <c r="Y178" i="9" s="1"/>
  <c r="V180" i="9"/>
  <c r="X180" i="9" s="1"/>
  <c r="Y180" i="9" s="1"/>
  <c r="V146" i="9"/>
  <c r="X146" i="9" s="1"/>
  <c r="Y146" i="9" s="1"/>
  <c r="V90" i="9"/>
  <c r="X90" i="9" s="1"/>
  <c r="Y90" i="9" s="1"/>
  <c r="V305" i="9"/>
  <c r="X305" i="9" s="1"/>
  <c r="Y305" i="9" s="1"/>
  <c r="V224" i="9"/>
  <c r="X224" i="9" s="1"/>
  <c r="Y224" i="9" s="1"/>
  <c r="V29" i="9"/>
  <c r="X29" i="9" s="1"/>
  <c r="Y29" i="9" s="1"/>
  <c r="V200" i="9"/>
  <c r="X200" i="9" s="1"/>
  <c r="Y200" i="9" s="1"/>
  <c r="V228" i="9"/>
  <c r="X228" i="9" s="1"/>
  <c r="Y228" i="9" s="1"/>
  <c r="V235" i="9"/>
  <c r="X235" i="9" s="1"/>
  <c r="Y235" i="9" s="1"/>
  <c r="V102" i="9"/>
  <c r="X102" i="9" s="1"/>
  <c r="Y102" i="9" s="1"/>
  <c r="V50" i="9"/>
  <c r="X50" i="9" s="1"/>
  <c r="Y50" i="9" s="1"/>
  <c r="V252" i="9"/>
  <c r="X252" i="9" s="1"/>
  <c r="Y252" i="9" s="1"/>
  <c r="V216" i="9"/>
  <c r="X216" i="9" s="1"/>
  <c r="Y216" i="9" s="1"/>
  <c r="V209" i="9"/>
  <c r="X209" i="9" s="1"/>
  <c r="Y209" i="9" s="1"/>
  <c r="V38" i="9"/>
  <c r="X38" i="9" s="1"/>
  <c r="Y38" i="9" s="1"/>
  <c r="V276" i="9"/>
  <c r="X276" i="9" s="1"/>
  <c r="Y276" i="9" s="1"/>
  <c r="V304" i="9"/>
  <c r="X304" i="9" s="1"/>
  <c r="Y304" i="9" s="1"/>
  <c r="V100" i="9"/>
  <c r="X100" i="9" s="1"/>
  <c r="Y100" i="9" s="1"/>
  <c r="V208" i="9"/>
  <c r="X208" i="9" s="1"/>
  <c r="Y208" i="9" s="1"/>
  <c r="V192" i="9"/>
  <c r="X192" i="9" s="1"/>
  <c r="Y192" i="9" s="1"/>
  <c r="V232" i="9"/>
  <c r="X232" i="9" s="1"/>
  <c r="Y232" i="9" s="1"/>
  <c r="V243" i="9"/>
  <c r="X243" i="9" s="1"/>
  <c r="Y243" i="9" s="1"/>
  <c r="V266" i="9"/>
  <c r="X266" i="9" s="1"/>
  <c r="Y266" i="9" s="1"/>
  <c r="V278" i="9"/>
  <c r="X278" i="9" s="1"/>
  <c r="Y278" i="9" s="1"/>
  <c r="V105" i="9"/>
  <c r="X105" i="9" s="1"/>
  <c r="Y105" i="9" s="1"/>
  <c r="V48" i="9"/>
  <c r="X48" i="9" s="1"/>
  <c r="Y48" i="9" s="1"/>
  <c r="V123" i="9"/>
  <c r="X123" i="9" s="1"/>
  <c r="Y123" i="9" s="1"/>
  <c r="V292" i="9"/>
  <c r="X292" i="9" s="1"/>
  <c r="Y292" i="9" s="1"/>
  <c r="V61" i="9"/>
  <c r="X61" i="9" s="1"/>
  <c r="Y61" i="9" s="1"/>
  <c r="V60" i="9"/>
  <c r="X60" i="9" s="1"/>
  <c r="Y60" i="9" s="1"/>
  <c r="V186" i="9"/>
  <c r="X186" i="9" s="1"/>
  <c r="Y186" i="9" s="1"/>
  <c r="V169" i="9"/>
  <c r="X169" i="9" s="1"/>
  <c r="Y169" i="9" s="1"/>
  <c r="V244" i="9"/>
  <c r="X244" i="9" s="1"/>
  <c r="Y244" i="9" s="1"/>
  <c r="V116" i="9"/>
  <c r="X116" i="9" s="1"/>
  <c r="Y116" i="9" s="1"/>
  <c r="V174" i="9"/>
  <c r="X174" i="9" s="1"/>
  <c r="Y174" i="9" s="1"/>
  <c r="V301" i="9"/>
  <c r="X301" i="9" s="1"/>
  <c r="Y301" i="9" s="1"/>
  <c r="V190" i="9"/>
  <c r="X190" i="9" s="1"/>
  <c r="Y190" i="9" s="1"/>
  <c r="V75" i="9"/>
  <c r="X75" i="9" s="1"/>
  <c r="Y75" i="9" s="1"/>
  <c r="V206" i="9"/>
  <c r="X206" i="9" s="1"/>
  <c r="Y206" i="9" s="1"/>
  <c r="V101" i="9"/>
  <c r="X101" i="9" s="1"/>
  <c r="Y101" i="9" s="1"/>
  <c r="V280" i="9"/>
  <c r="X280" i="9" s="1"/>
  <c r="Y280" i="9" s="1"/>
  <c r="V170" i="9"/>
  <c r="X170" i="9" s="1"/>
  <c r="Y170" i="9" s="1"/>
  <c r="V199" i="9"/>
  <c r="X199" i="9" s="1"/>
  <c r="Y199" i="9" s="1"/>
  <c r="V171" i="9"/>
  <c r="X171" i="9" s="1"/>
  <c r="Y171" i="9" s="1"/>
  <c r="V162" i="9"/>
  <c r="X162" i="9" s="1"/>
  <c r="Y162" i="9" s="1"/>
  <c r="V76" i="9"/>
  <c r="X76" i="9" s="1"/>
  <c r="Y76" i="9" s="1"/>
  <c r="V39" i="9"/>
  <c r="X39" i="9" s="1"/>
  <c r="Y39" i="9" s="1"/>
  <c r="V77" i="9"/>
  <c r="X77" i="9" s="1"/>
  <c r="Y77" i="9" s="1"/>
  <c r="V95" i="9"/>
  <c r="X95" i="9" s="1"/>
  <c r="Y95" i="9" s="1"/>
  <c r="V154" i="9"/>
  <c r="X154" i="9" s="1"/>
  <c r="Y154" i="9" s="1"/>
  <c r="V144" i="9"/>
  <c r="X144" i="9" s="1"/>
  <c r="Y144" i="9" s="1"/>
  <c r="V41" i="9"/>
  <c r="X41" i="9" s="1"/>
  <c r="Y41" i="9" s="1"/>
  <c r="V115" i="9"/>
  <c r="X115" i="9" s="1"/>
  <c r="Y115" i="9" s="1"/>
  <c r="V239" i="9"/>
  <c r="X239" i="9" s="1"/>
  <c r="Y239" i="9" s="1"/>
  <c r="V194" i="9"/>
  <c r="X194" i="9" s="1"/>
  <c r="Y194" i="9" s="1"/>
  <c r="V86" i="9"/>
  <c r="X86" i="9" s="1"/>
  <c r="Y86" i="9" s="1"/>
  <c r="V93" i="9"/>
  <c r="X93" i="9" s="1"/>
  <c r="Y93" i="9" s="1"/>
  <c r="V24" i="9"/>
  <c r="X24" i="9" s="1"/>
  <c r="Y24" i="9" s="1"/>
  <c r="V11" i="9"/>
  <c r="X11" i="9" s="1"/>
  <c r="Y11" i="9" s="1"/>
  <c r="V151" i="9"/>
  <c r="X151" i="9" s="1"/>
  <c r="Y151" i="9" s="1"/>
  <c r="V246" i="9"/>
  <c r="X246" i="9" s="1"/>
  <c r="Y246" i="9" s="1"/>
  <c r="V185" i="9"/>
  <c r="X185" i="9" s="1"/>
  <c r="Y185" i="9" s="1"/>
  <c r="V195" i="9"/>
  <c r="X195" i="9" s="1"/>
  <c r="Y195" i="9" s="1"/>
  <c r="V286" i="9"/>
  <c r="X286" i="9" s="1"/>
  <c r="Y286" i="9" s="1"/>
  <c r="V207" i="9"/>
  <c r="X207" i="9" s="1"/>
  <c r="Y207" i="9" s="1"/>
  <c r="V212" i="9"/>
  <c r="X212" i="9" s="1"/>
  <c r="Y212" i="9" s="1"/>
  <c r="V220" i="9"/>
  <c r="X220" i="9" s="1"/>
  <c r="Y220" i="9" s="1"/>
  <c r="V91" i="9"/>
  <c r="X91" i="9" s="1"/>
  <c r="Y91" i="9" s="1"/>
  <c r="V103" i="9"/>
  <c r="X103" i="9" s="1"/>
  <c r="Y103" i="9" s="1"/>
  <c r="V231" i="9"/>
  <c r="X231" i="9" s="1"/>
  <c r="Y231" i="9" s="1"/>
  <c r="V12" i="9"/>
  <c r="X12" i="9" s="1"/>
  <c r="Y12" i="9" s="1"/>
  <c r="V78" i="9"/>
  <c r="X78" i="9" s="1"/>
  <c r="Y78" i="9" s="1"/>
  <c r="V49" i="9"/>
  <c r="X49" i="9" s="1"/>
  <c r="Y49" i="9" s="1"/>
  <c r="V133" i="9"/>
  <c r="X133" i="9" s="1"/>
  <c r="Y133" i="9" s="1"/>
  <c r="V36" i="9"/>
  <c r="X36" i="9" s="1"/>
  <c r="Y36" i="9" s="1"/>
  <c r="V58" i="9"/>
  <c r="X58" i="9" s="1"/>
  <c r="Y58" i="9" s="1"/>
  <c r="V279" i="9"/>
  <c r="X279" i="9" s="1"/>
  <c r="Y279" i="9" s="1"/>
  <c r="V82" i="9"/>
  <c r="X82" i="9" s="1"/>
  <c r="Y82" i="9" s="1"/>
  <c r="V31" i="9"/>
  <c r="X31" i="9" s="1"/>
  <c r="Y31" i="9" s="1"/>
  <c r="V274" i="9"/>
  <c r="X274" i="9" s="1"/>
  <c r="Y274" i="9" s="1"/>
  <c r="V128" i="9"/>
  <c r="X128" i="9" s="1"/>
  <c r="Y128" i="9" s="1"/>
  <c r="V27" i="9"/>
  <c r="X27" i="9" s="1"/>
  <c r="Y27" i="9" s="1"/>
  <c r="V173" i="9"/>
  <c r="X173" i="9" s="1"/>
  <c r="Y173" i="9" s="1"/>
  <c r="V71" i="9"/>
  <c r="X71" i="9" s="1"/>
  <c r="Y71" i="9" s="1"/>
  <c r="V98" i="9"/>
  <c r="X98" i="9" s="1"/>
  <c r="Y98" i="9" s="1"/>
  <c r="V306" i="9"/>
  <c r="X306" i="9" s="1"/>
  <c r="Y306" i="9" s="1"/>
  <c r="V10" i="9"/>
  <c r="X10" i="9" s="1"/>
  <c r="Y10" i="9" s="1"/>
  <c r="V92" i="9"/>
  <c r="X92" i="9" s="1"/>
  <c r="Y92" i="9" s="1"/>
  <c r="V294" i="9"/>
  <c r="X294" i="9" s="1"/>
  <c r="Y294" i="9" s="1"/>
  <c r="V73" i="9"/>
  <c r="X73" i="9" s="1"/>
  <c r="Y73" i="9" s="1"/>
  <c r="V68" i="9"/>
  <c r="X68" i="9" s="1"/>
  <c r="Y68" i="9" s="1"/>
  <c r="V118" i="9"/>
  <c r="X118" i="9" s="1"/>
  <c r="Y118" i="9" s="1"/>
  <c r="V16" i="9"/>
  <c r="X16" i="9" s="1"/>
  <c r="Y16" i="9" s="1"/>
  <c r="V149" i="9"/>
  <c r="X149" i="9" s="1"/>
  <c r="Y149" i="9" s="1"/>
  <c r="V99" i="9"/>
  <c r="X99" i="9" s="1"/>
  <c r="Y99" i="9" s="1"/>
  <c r="V25" i="9"/>
  <c r="X25" i="9" s="1"/>
  <c r="Y25" i="9" s="1"/>
  <c r="V137" i="9"/>
  <c r="X137" i="9" s="1"/>
  <c r="Y137" i="9" s="1"/>
  <c r="V205" i="9"/>
  <c r="X205" i="9" s="1"/>
  <c r="Y205" i="9" s="1"/>
  <c r="V284" i="9"/>
  <c r="X284" i="9" s="1"/>
  <c r="Y284" i="9" s="1"/>
  <c r="V72" i="9"/>
  <c r="X72" i="9" s="1"/>
  <c r="Y72" i="9" s="1"/>
  <c r="V150" i="9"/>
  <c r="X150" i="9" s="1"/>
  <c r="Y150" i="9" s="1"/>
  <c r="V112" i="9"/>
  <c r="X112" i="9" s="1"/>
  <c r="Y112" i="9" s="1"/>
  <c r="V291" i="9"/>
  <c r="X291" i="9" s="1"/>
  <c r="Y291" i="9" s="1"/>
  <c r="V56" i="9"/>
  <c r="X56" i="9" s="1"/>
  <c r="Y56" i="9" s="1"/>
  <c r="V259" i="9"/>
  <c r="X259" i="9" s="1"/>
  <c r="Y259" i="9" s="1"/>
  <c r="V290" i="9"/>
  <c r="X290" i="9" s="1"/>
  <c r="Y290" i="9" s="1"/>
  <c r="V241" i="9"/>
  <c r="X241" i="9" s="1"/>
  <c r="Y241" i="9" s="1"/>
  <c r="V299" i="9"/>
  <c r="X299" i="9" s="1"/>
  <c r="Y299" i="9" s="1"/>
  <c r="V230" i="9"/>
  <c r="X230" i="9" s="1"/>
  <c r="Y230" i="9" s="1"/>
  <c r="V136" i="9"/>
  <c r="X136" i="9" s="1"/>
  <c r="Y136" i="9" s="1"/>
  <c r="V163" i="9"/>
  <c r="X163" i="9" s="1"/>
  <c r="Y163" i="9" s="1"/>
  <c r="V30" i="9"/>
  <c r="X30" i="9" s="1"/>
  <c r="Y30" i="9" s="1"/>
  <c r="V177" i="9"/>
  <c r="X177" i="9" s="1"/>
  <c r="Y177" i="9" s="1"/>
  <c r="V183" i="9"/>
  <c r="X183" i="9" s="1"/>
  <c r="Y183" i="9" s="1"/>
  <c r="V265" i="9"/>
  <c r="X265" i="9" s="1"/>
  <c r="Y265" i="9" s="1"/>
  <c r="V88" i="9"/>
  <c r="X88" i="9" s="1"/>
  <c r="Y88" i="9" s="1"/>
  <c r="V33" i="9"/>
  <c r="X33" i="9" s="1"/>
  <c r="Y33" i="9" s="1"/>
  <c r="V131" i="9"/>
  <c r="X131" i="9" s="1"/>
  <c r="Y131" i="9" s="1"/>
  <c r="V273" i="9"/>
  <c r="X273" i="9" s="1"/>
  <c r="Y273" i="9" s="1"/>
  <c r="V214" i="9"/>
  <c r="X214" i="9" s="1"/>
  <c r="Y214" i="9" s="1"/>
  <c r="V262" i="9"/>
  <c r="X262" i="9" s="1"/>
  <c r="Y262" i="9" s="1"/>
  <c r="V111" i="9"/>
  <c r="X111" i="9" s="1"/>
  <c r="Y111" i="9" s="1"/>
  <c r="V245" i="9"/>
  <c r="X245" i="9" s="1"/>
  <c r="Y245" i="9" s="1"/>
  <c r="V139" i="9"/>
  <c r="X139" i="9" s="1"/>
  <c r="Y139" i="9" s="1"/>
  <c r="V52" i="9"/>
  <c r="X52" i="9" s="1"/>
  <c r="Y52" i="9" s="1"/>
  <c r="V85" i="9"/>
  <c r="X85" i="9" s="1"/>
  <c r="Y85" i="9" s="1"/>
  <c r="V226" i="9"/>
  <c r="X226" i="9" s="1"/>
  <c r="Y226" i="9" s="1"/>
  <c r="V122" i="9"/>
  <c r="X122" i="9" s="1"/>
  <c r="Y122" i="9" s="1"/>
  <c r="V184" i="9"/>
  <c r="X184" i="9" s="1"/>
  <c r="Y184" i="9" s="1"/>
  <c r="V167" i="9"/>
  <c r="X167" i="9" s="1"/>
  <c r="Y167" i="9" s="1"/>
  <c r="V127" i="9"/>
  <c r="X127" i="9" s="1"/>
  <c r="Y127" i="9" s="1"/>
  <c r="V264" i="9"/>
  <c r="X264" i="9" s="1"/>
  <c r="Y264" i="9" s="1"/>
  <c r="V124" i="9"/>
  <c r="X124" i="9" s="1"/>
  <c r="Y124" i="9" s="1"/>
  <c r="V283" i="9"/>
  <c r="X283" i="9" s="1"/>
  <c r="Y283" i="9" s="1"/>
  <c r="V18" i="9"/>
  <c r="X18" i="9" s="1"/>
  <c r="Y18" i="9" s="1"/>
  <c r="V148" i="9"/>
  <c r="X148" i="9" s="1"/>
  <c r="Y148" i="9" s="1"/>
  <c r="V202" i="9"/>
  <c r="X202" i="9" s="1"/>
  <c r="Y202" i="9" s="1"/>
  <c r="V14" i="9"/>
  <c r="X14" i="9" s="1"/>
  <c r="Y14" i="9" s="1"/>
  <c r="V258" i="9"/>
  <c r="X258" i="9" s="1"/>
  <c r="Y258" i="9" s="1"/>
  <c r="V250" i="9"/>
  <c r="X250" i="9" s="1"/>
  <c r="Y250" i="9" s="1"/>
  <c r="V67" i="9"/>
  <c r="X67" i="9" s="1"/>
  <c r="Y67" i="9" s="1"/>
  <c r="V126" i="9"/>
  <c r="X126" i="9" s="1"/>
  <c r="Y126" i="9" s="1"/>
  <c r="V189" i="9"/>
  <c r="X189" i="9" s="1"/>
  <c r="Y189" i="9" s="1"/>
  <c r="V28" i="9"/>
  <c r="X28" i="9" s="1"/>
  <c r="Y28" i="9" s="1"/>
  <c r="V269" i="9"/>
  <c r="X269" i="9" s="1"/>
  <c r="Y269" i="9" s="1"/>
  <c r="V272" i="9"/>
  <c r="X272" i="9" s="1"/>
  <c r="Y272" i="9" s="1"/>
  <c r="V94" i="9"/>
  <c r="X94" i="9" s="1"/>
  <c r="Y94" i="9" s="1"/>
  <c r="V218" i="9"/>
  <c r="X218" i="9" s="1"/>
  <c r="Y218" i="9" s="1"/>
  <c r="V217" i="9"/>
  <c r="X217" i="9" s="1"/>
  <c r="Y217" i="9" s="1"/>
  <c r="V40" i="9"/>
  <c r="X40" i="9" s="1"/>
  <c r="Y40" i="9" s="1"/>
  <c r="V236" i="9"/>
  <c r="X236" i="9" s="1"/>
  <c r="Y236" i="9" s="1"/>
  <c r="V159" i="9"/>
  <c r="X159" i="9" s="1"/>
  <c r="Y159" i="9" s="1"/>
  <c r="V132" i="9"/>
  <c r="X132" i="9" s="1"/>
  <c r="Y132" i="9" s="1"/>
  <c r="V249" i="9"/>
  <c r="X249" i="9" s="1"/>
  <c r="Y249" i="9" s="1"/>
  <c r="V64" i="9"/>
  <c r="X64" i="9" s="1"/>
  <c r="Y64" i="9" s="1"/>
  <c r="V47" i="9"/>
  <c r="X47" i="9" s="1"/>
  <c r="Y47" i="9" s="1"/>
  <c r="V165" i="9"/>
  <c r="X165" i="9" s="1"/>
  <c r="Y165" i="9" s="1"/>
  <c r="V104" i="9"/>
  <c r="X104" i="9" s="1"/>
  <c r="Y104" i="9" s="1"/>
  <c r="V233" i="9"/>
  <c r="X233" i="9" s="1"/>
  <c r="Y233" i="9" s="1"/>
  <c r="V106" i="9"/>
  <c r="X106" i="9" s="1"/>
  <c r="Y106" i="9" s="1"/>
  <c r="V179" i="9"/>
  <c r="X179" i="9" s="1"/>
  <c r="Y179" i="9" s="1"/>
  <c r="V34" i="9"/>
  <c r="X34" i="9" s="1"/>
  <c r="Y34" i="9" s="1"/>
  <c r="V74" i="9"/>
  <c r="X74" i="9" s="1"/>
  <c r="Y74" i="9" s="1"/>
  <c r="V181" i="9"/>
  <c r="X181" i="9" s="1"/>
  <c r="Y181" i="9" s="1"/>
  <c r="V51" i="9"/>
  <c r="X51" i="9" s="1"/>
  <c r="Y51" i="9" s="1"/>
  <c r="V141" i="9"/>
  <c r="X141" i="9" s="1"/>
  <c r="Y141" i="9" s="1"/>
  <c r="V96" i="9"/>
  <c r="X96" i="9" s="1"/>
  <c r="Y96" i="9" s="1"/>
  <c r="V46" i="9"/>
  <c r="X46" i="9" s="1"/>
  <c r="Y46" i="9" s="1"/>
  <c r="V145" i="9"/>
  <c r="X145" i="9" s="1"/>
  <c r="Y145" i="9" s="1"/>
  <c r="V237" i="9"/>
  <c r="X237" i="9" s="1"/>
  <c r="Y237" i="9" s="1"/>
  <c r="V227" i="9"/>
  <c r="X227" i="9" s="1"/>
  <c r="Y227" i="9" s="1"/>
  <c r="V234" i="9"/>
  <c r="X234" i="9" s="1"/>
  <c r="Y234" i="9" s="1"/>
  <c r="V44" i="9"/>
  <c r="X44" i="9" s="1"/>
  <c r="Y44" i="9" s="1"/>
  <c r="V55" i="9"/>
  <c r="X55" i="9" s="1"/>
  <c r="Y55" i="9" s="1"/>
  <c r="V156" i="9"/>
  <c r="X156" i="9" s="1"/>
  <c r="Y156" i="9" s="1"/>
  <c r="V225" i="9"/>
  <c r="X225" i="9" s="1"/>
  <c r="Y225" i="9" s="1"/>
  <c r="V168" i="9"/>
  <c r="X168" i="9" s="1"/>
  <c r="Y168" i="9" s="1"/>
  <c r="V130" i="9"/>
  <c r="X130" i="9" s="1"/>
  <c r="Y130" i="9" s="1"/>
  <c r="V270" i="9"/>
  <c r="X270" i="9" s="1"/>
  <c r="Y270" i="9" s="1"/>
  <c r="V140" i="9"/>
  <c r="X140" i="9" s="1"/>
  <c r="Y140" i="9" s="1"/>
  <c r="V261" i="9"/>
  <c r="X261" i="9" s="1"/>
  <c r="Y261" i="9" s="1"/>
  <c r="V9" i="9"/>
  <c r="X9" i="9" s="1"/>
  <c r="Y9" i="9" s="1"/>
  <c r="V287" i="9"/>
  <c r="X287" i="9" s="1"/>
  <c r="Y287" i="9" s="1"/>
  <c r="V288" i="9"/>
  <c r="X288" i="9" s="1"/>
  <c r="Y288" i="9" s="1"/>
  <c r="V54" i="9"/>
  <c r="X54" i="9" s="1"/>
  <c r="Y54" i="9" s="1"/>
  <c r="V229" i="9"/>
  <c r="X229" i="9" s="1"/>
  <c r="Y229" i="9" s="1"/>
  <c r="V15" i="9"/>
  <c r="X15" i="9" s="1"/>
  <c r="Y15" i="9" s="1"/>
  <c r="V307" i="9"/>
  <c r="X307" i="9" s="1"/>
  <c r="Y307" i="9" s="1"/>
  <c r="V277" i="9"/>
  <c r="X277" i="9" s="1"/>
  <c r="Y277" i="9" s="1"/>
  <c r="V17" i="9"/>
  <c r="X17" i="9" s="1"/>
  <c r="Y17" i="9" s="1"/>
  <c r="V70" i="9"/>
  <c r="X70" i="9" s="1"/>
  <c r="Y70" i="9" s="1"/>
  <c r="V32" i="9"/>
  <c r="X32" i="9" s="1"/>
  <c r="Y32" i="9" s="1"/>
  <c r="V247" i="9"/>
  <c r="X247" i="9" s="1"/>
  <c r="Y247" i="9" s="1"/>
  <c r="V253" i="9"/>
  <c r="X253" i="9" s="1"/>
  <c r="Y253" i="9" s="1"/>
  <c r="V152" i="9"/>
  <c r="X152" i="9" s="1"/>
  <c r="Y152" i="9" s="1"/>
  <c r="V35" i="9"/>
  <c r="X35" i="9" s="1"/>
  <c r="Y35" i="9" s="1"/>
  <c r="V19" i="9"/>
  <c r="X19" i="9" s="1"/>
  <c r="Y19" i="9" s="1"/>
  <c r="V223" i="9"/>
  <c r="X223" i="9" s="1"/>
  <c r="Y223" i="9" s="1"/>
  <c r="V66" i="9"/>
  <c r="X66" i="9" s="1"/>
  <c r="Y66" i="9" s="1"/>
  <c r="V155" i="9"/>
  <c r="X155" i="9" s="1"/>
  <c r="Y155" i="9" s="1"/>
  <c r="V263" i="9"/>
  <c r="X263" i="9" s="1"/>
  <c r="Y263" i="9" s="1"/>
  <c r="V242" i="9"/>
  <c r="X242" i="9" s="1"/>
  <c r="Y242" i="9" s="1"/>
  <c r="V129" i="9"/>
  <c r="X129" i="9" s="1"/>
  <c r="Y129" i="9" s="1"/>
  <c r="V84" i="9"/>
  <c r="X84" i="9" s="1"/>
  <c r="Y84" i="9" s="1"/>
  <c r="V198" i="9"/>
  <c r="X198" i="9" s="1"/>
  <c r="Y198" i="9" s="1"/>
  <c r="V172" i="9"/>
  <c r="X172" i="9" s="1"/>
  <c r="Y172" i="9" s="1"/>
  <c r="V248" i="9"/>
  <c r="X248" i="9" s="1"/>
  <c r="Y248" i="9" s="1"/>
  <c r="V125" i="9"/>
  <c r="X125" i="9" s="1"/>
  <c r="Y125" i="9" s="1"/>
  <c r="V254" i="9"/>
  <c r="X254" i="9" s="1"/>
  <c r="Y254" i="9" s="1"/>
  <c r="V275" i="9"/>
  <c r="X275" i="9" s="1"/>
  <c r="Y275" i="9" s="1"/>
  <c r="V80" i="9"/>
  <c r="X80" i="9" s="1"/>
  <c r="Y80" i="9" s="1"/>
  <c r="V134" i="9"/>
  <c r="X134" i="9" s="1"/>
  <c r="Y134" i="9" s="1"/>
  <c r="V157" i="9"/>
  <c r="X157" i="9" s="1"/>
  <c r="Y157" i="9" s="1"/>
  <c r="V187" i="9"/>
  <c r="X187" i="9" s="1"/>
  <c r="Y187" i="9" s="1"/>
  <c r="V211" i="9"/>
  <c r="X211" i="9" s="1"/>
  <c r="Y211" i="9" s="1"/>
  <c r="V267" i="9"/>
  <c r="X267" i="9" s="1"/>
  <c r="Y267" i="9" s="1"/>
  <c r="V215" i="9"/>
  <c r="X215" i="9" s="1"/>
  <c r="Y215" i="9" s="1"/>
  <c r="V57" i="9"/>
  <c r="X57" i="9" s="1"/>
  <c r="Y57" i="9" s="1"/>
  <c r="V119" i="9"/>
  <c r="X119" i="9" s="1"/>
  <c r="Y119" i="9" s="1"/>
  <c r="V113" i="9"/>
  <c r="X113" i="9" s="1"/>
  <c r="Y113" i="9" s="1"/>
  <c r="V43" i="9"/>
  <c r="X43" i="9" s="1"/>
  <c r="Y43" i="9" s="1"/>
  <c r="V238" i="9"/>
  <c r="X238" i="9" s="1"/>
  <c r="Y238" i="9" s="1"/>
  <c r="V268" i="9"/>
  <c r="X268" i="9" s="1"/>
  <c r="Y268" i="9" s="1"/>
  <c r="V97" i="9"/>
  <c r="X97" i="9" s="1"/>
  <c r="Y97" i="9" s="1"/>
  <c r="V21" i="9"/>
  <c r="X21" i="9" s="1"/>
  <c r="Y21" i="9" s="1"/>
  <c r="V69" i="9"/>
  <c r="X69" i="9" s="1"/>
  <c r="Y69" i="9" s="1"/>
  <c r="V282" i="9"/>
  <c r="X282" i="9" s="1"/>
  <c r="Y282" i="9" s="1"/>
  <c r="V293" i="9"/>
  <c r="X293" i="9" s="1"/>
  <c r="Y293" i="9" s="1"/>
  <c r="V23" i="9"/>
  <c r="X23" i="9" s="1"/>
  <c r="Y23" i="9" s="1"/>
  <c r="V285" i="9"/>
  <c r="X285" i="9" s="1"/>
  <c r="Y285" i="9" s="1"/>
  <c r="V108" i="9"/>
  <c r="X108" i="9" s="1"/>
  <c r="Y108" i="9" s="1"/>
  <c r="V135" i="9"/>
  <c r="X135" i="9" s="1"/>
  <c r="Y135" i="9" s="1"/>
  <c r="V45" i="9"/>
  <c r="X45" i="9" s="1"/>
  <c r="Y45" i="9" s="1"/>
  <c r="V65" i="9"/>
  <c r="X65" i="9" s="1"/>
  <c r="Y65" i="9" s="1"/>
  <c r="V296" i="9"/>
  <c r="X296" i="9" s="1"/>
  <c r="Y296" i="9" s="1"/>
  <c r="V13" i="9"/>
  <c r="X13" i="9" s="1"/>
  <c r="Y13" i="9" s="1"/>
  <c r="V120" i="9"/>
  <c r="X120" i="9" s="1"/>
  <c r="Y120" i="9" s="1"/>
  <c r="V210" i="9"/>
  <c r="X210" i="9" s="1"/>
  <c r="Y210" i="9" s="1"/>
  <c r="V142" i="9"/>
  <c r="X142" i="9" s="1"/>
  <c r="Y142" i="9" s="1"/>
  <c r="V201" i="9"/>
  <c r="X201" i="9" s="1"/>
  <c r="Y201" i="9" s="1"/>
  <c r="V121" i="9"/>
  <c r="X121" i="9" s="1"/>
  <c r="Y121" i="9" s="1"/>
  <c r="V182" i="9"/>
  <c r="X182" i="9" s="1"/>
  <c r="Y182" i="9" s="1"/>
  <c r="V197" i="9"/>
  <c r="X197" i="9" s="1"/>
  <c r="Y197" i="9" s="1"/>
  <c r="V42" i="9"/>
  <c r="X42" i="9" s="1"/>
  <c r="Y42" i="9" s="1"/>
  <c r="V255" i="9"/>
  <c r="X255" i="9" s="1"/>
  <c r="Y255" i="9" s="1"/>
  <c r="V256" i="9"/>
  <c r="X256" i="9" s="1"/>
  <c r="Y256" i="9" s="1"/>
  <c r="V203" i="9"/>
  <c r="X203" i="9" s="1"/>
  <c r="Y203" i="9" s="1"/>
  <c r="V240" i="9"/>
  <c r="X240" i="9" s="1"/>
  <c r="Y240" i="9" s="1"/>
  <c r="V289" i="9"/>
  <c r="X289" i="9" s="1"/>
  <c r="Y289" i="9" s="1"/>
  <c r="V37" i="9"/>
  <c r="X37" i="9" s="1"/>
  <c r="Y37" i="9" s="1"/>
  <c r="V22" i="9"/>
  <c r="X22" i="9" s="1"/>
  <c r="Y22" i="9" s="1"/>
  <c r="V81" i="9"/>
  <c r="X81" i="9" s="1"/>
  <c r="Y81" i="9" s="1"/>
  <c r="V166" i="9"/>
  <c r="X166" i="9" s="1"/>
  <c r="Y166" i="9" s="1"/>
  <c r="V298" i="9"/>
  <c r="X298" i="9" s="1"/>
  <c r="Y298" i="9" s="1"/>
  <c r="V257" i="9"/>
  <c r="X257" i="9" s="1"/>
  <c r="Y257" i="9" s="1"/>
  <c r="V204" i="9"/>
  <c r="X204" i="9" s="1"/>
  <c r="Y204" i="9" s="1"/>
  <c r="V87" i="9"/>
  <c r="X87" i="9" s="1"/>
  <c r="Y87" i="9" s="1"/>
  <c r="V20" i="9"/>
  <c r="X20" i="9" s="1"/>
  <c r="Y20" i="9" s="1"/>
  <c r="V222" i="9"/>
  <c r="X222" i="9" s="1"/>
  <c r="Y222" i="9" s="1"/>
  <c r="V59" i="9"/>
  <c r="X59" i="9" s="1"/>
  <c r="Y59" i="9" s="1"/>
  <c r="V53" i="9"/>
  <c r="X53" i="9" s="1"/>
  <c r="Y53" i="9" s="1"/>
  <c r="V107" i="9"/>
  <c r="X107" i="9" s="1"/>
  <c r="Y107" i="9" s="1"/>
  <c r="V161" i="9"/>
  <c r="X161" i="9" s="1"/>
  <c r="Y161" i="9" s="1"/>
  <c r="V147" i="9"/>
  <c r="X147" i="9" s="1"/>
  <c r="Y147" i="9" s="1"/>
  <c r="V138" i="9"/>
  <c r="X138" i="9" s="1"/>
  <c r="Y138" i="9" s="1"/>
  <c r="V114" i="9"/>
  <c r="X114" i="9" s="1"/>
  <c r="Y114" i="9" s="1"/>
  <c r="T308" i="9"/>
  <c r="V8" i="9"/>
  <c r="X8" i="9" s="1"/>
  <c r="Y8" i="9" l="1"/>
  <c r="Y308" i="9" s="1"/>
  <c r="X308" i="9"/>
  <c r="V2" i="9"/>
  <c r="I120" i="55"/>
  <c r="I51" i="55"/>
  <c r="I216" i="55"/>
  <c r="I59" i="55"/>
  <c r="I81" i="55"/>
  <c r="I42" i="55"/>
  <c r="I13" i="55"/>
  <c r="I293" i="55"/>
  <c r="I113" i="55"/>
  <c r="I134" i="55"/>
  <c r="I84" i="55"/>
  <c r="I35" i="55"/>
  <c r="I307" i="55"/>
  <c r="I140" i="55"/>
  <c r="I234" i="55"/>
  <c r="I181" i="55"/>
  <c r="I47" i="55"/>
  <c r="I218" i="55"/>
  <c r="I250" i="55"/>
  <c r="I264" i="55"/>
  <c r="I139" i="55"/>
  <c r="I88" i="55"/>
  <c r="I299" i="55"/>
  <c r="I72" i="55"/>
  <c r="I118" i="55"/>
  <c r="I71" i="55"/>
  <c r="I58" i="55"/>
  <c r="I91" i="55"/>
  <c r="I151" i="55"/>
  <c r="I41" i="55"/>
  <c r="I171" i="55"/>
  <c r="I301" i="55"/>
  <c r="I292" i="55"/>
  <c r="I192" i="55"/>
  <c r="I252" i="55"/>
  <c r="I305" i="55"/>
  <c r="I193" i="55"/>
  <c r="I303" i="55"/>
  <c r="I110" i="55"/>
  <c r="I188" i="55"/>
  <c r="I43" i="55"/>
  <c r="I261" i="55"/>
  <c r="I124" i="55"/>
  <c r="I16" i="55"/>
  <c r="I115" i="55"/>
  <c r="I83" i="55"/>
  <c r="I22" i="55"/>
  <c r="I119" i="55"/>
  <c r="I15" i="55"/>
  <c r="I270" i="55"/>
  <c r="I227" i="55"/>
  <c r="I74" i="55"/>
  <c r="I64" i="55"/>
  <c r="I94" i="55"/>
  <c r="I258" i="55"/>
  <c r="I127" i="55"/>
  <c r="I245" i="55"/>
  <c r="I265" i="55"/>
  <c r="I241" i="55"/>
  <c r="I284" i="55"/>
  <c r="I68" i="55"/>
  <c r="I173" i="55"/>
  <c r="I36" i="55"/>
  <c r="I220" i="55"/>
  <c r="I11" i="55"/>
  <c r="I144" i="55"/>
  <c r="I199" i="55"/>
  <c r="I174" i="55"/>
  <c r="I123" i="55"/>
  <c r="I208" i="55"/>
  <c r="I50" i="55"/>
  <c r="I90" i="55"/>
  <c r="I79" i="55"/>
  <c r="I117" i="55"/>
  <c r="I158" i="55"/>
  <c r="I297" i="55"/>
  <c r="I23" i="55"/>
  <c r="I277" i="55"/>
  <c r="I52" i="55"/>
  <c r="I103" i="55"/>
  <c r="I221" i="55"/>
  <c r="I296" i="55"/>
  <c r="I129" i="55"/>
  <c r="I114" i="55"/>
  <c r="I20" i="55"/>
  <c r="I37" i="55"/>
  <c r="I182" i="55"/>
  <c r="I65" i="55"/>
  <c r="I69" i="55"/>
  <c r="I57" i="55"/>
  <c r="I275" i="55"/>
  <c r="I242" i="55"/>
  <c r="I229" i="55"/>
  <c r="I130" i="55"/>
  <c r="I237" i="55"/>
  <c r="I34" i="55"/>
  <c r="I249" i="55"/>
  <c r="I272" i="55"/>
  <c r="I14" i="55"/>
  <c r="I167" i="55"/>
  <c r="I111" i="55"/>
  <c r="I183" i="55"/>
  <c r="I290" i="55"/>
  <c r="I205" i="55"/>
  <c r="I73" i="55"/>
  <c r="I27" i="55"/>
  <c r="I133" i="55"/>
  <c r="I212" i="55"/>
  <c r="I24" i="55"/>
  <c r="I154" i="55"/>
  <c r="I170" i="55"/>
  <c r="I116" i="55"/>
  <c r="I48" i="55"/>
  <c r="I100" i="55"/>
  <c r="I102" i="55"/>
  <c r="I146" i="55"/>
  <c r="I175" i="55"/>
  <c r="I109" i="55"/>
  <c r="I271" i="55"/>
  <c r="I300" i="55"/>
  <c r="I53" i="55"/>
  <c r="I44" i="55"/>
  <c r="I197" i="55"/>
  <c r="I80" i="55"/>
  <c r="I138" i="55"/>
  <c r="I289" i="55"/>
  <c r="I121" i="55"/>
  <c r="I21" i="55"/>
  <c r="I215" i="55"/>
  <c r="I254" i="55"/>
  <c r="I263" i="55"/>
  <c r="I247" i="55"/>
  <c r="I54" i="55"/>
  <c r="I168" i="55"/>
  <c r="I145" i="55"/>
  <c r="I179" i="55"/>
  <c r="I132" i="55"/>
  <c r="I269" i="55"/>
  <c r="I202" i="55"/>
  <c r="I184" i="55"/>
  <c r="I262" i="55"/>
  <c r="I177" i="55"/>
  <c r="I259" i="55"/>
  <c r="I137" i="55"/>
  <c r="I294" i="55"/>
  <c r="I128" i="55"/>
  <c r="I49" i="55"/>
  <c r="I207" i="55"/>
  <c r="I93" i="55"/>
  <c r="I95" i="55"/>
  <c r="I280" i="55"/>
  <c r="I244" i="55"/>
  <c r="I105" i="55"/>
  <c r="I304" i="55"/>
  <c r="I235" i="55"/>
  <c r="I180" i="55"/>
  <c r="I281" i="55"/>
  <c r="I143" i="55"/>
  <c r="I62" i="55"/>
  <c r="I191" i="55"/>
  <c r="I255" i="55"/>
  <c r="I198" i="55"/>
  <c r="I165" i="55"/>
  <c r="I230" i="55"/>
  <c r="I279" i="55"/>
  <c r="I162" i="55"/>
  <c r="I232" i="55"/>
  <c r="I63" i="55"/>
  <c r="I222" i="55"/>
  <c r="I282" i="55"/>
  <c r="I152" i="55"/>
  <c r="I87" i="55"/>
  <c r="I45" i="55"/>
  <c r="I147" i="55"/>
  <c r="I204" i="55"/>
  <c r="I240" i="55"/>
  <c r="I201" i="55"/>
  <c r="I135" i="55"/>
  <c r="I97" i="55"/>
  <c r="I267" i="55"/>
  <c r="I125" i="55"/>
  <c r="I155" i="55"/>
  <c r="I32" i="55"/>
  <c r="I288" i="55"/>
  <c r="I225" i="55"/>
  <c r="I46" i="55"/>
  <c r="I106" i="55"/>
  <c r="I159" i="55"/>
  <c r="I28" i="55"/>
  <c r="I148" i="55"/>
  <c r="I122" i="55"/>
  <c r="I214" i="55"/>
  <c r="I30" i="55"/>
  <c r="I56" i="55"/>
  <c r="I25" i="55"/>
  <c r="I92" i="55"/>
  <c r="I274" i="55"/>
  <c r="I78" i="55"/>
  <c r="I286" i="55"/>
  <c r="I86" i="55"/>
  <c r="I77" i="55"/>
  <c r="I101" i="55"/>
  <c r="I169" i="55"/>
  <c r="I278" i="55"/>
  <c r="I276" i="55"/>
  <c r="I228" i="55"/>
  <c r="I178" i="55"/>
  <c r="I26" i="55"/>
  <c r="I196" i="55"/>
  <c r="I219" i="55"/>
  <c r="I153" i="55"/>
  <c r="I157" i="55"/>
  <c r="I217" i="55"/>
  <c r="I150" i="55"/>
  <c r="I246" i="55"/>
  <c r="I61" i="55"/>
  <c r="I89" i="55"/>
  <c r="I203" i="55"/>
  <c r="I108" i="55"/>
  <c r="I248" i="55"/>
  <c r="I70" i="55"/>
  <c r="I156" i="55"/>
  <c r="I233" i="55"/>
  <c r="I189" i="55"/>
  <c r="I18" i="55"/>
  <c r="I226" i="55"/>
  <c r="I163" i="55"/>
  <c r="I291" i="55"/>
  <c r="I99" i="55"/>
  <c r="I10" i="55"/>
  <c r="I31" i="55"/>
  <c r="I12" i="55"/>
  <c r="I195" i="55"/>
  <c r="I194" i="55"/>
  <c r="I39" i="55"/>
  <c r="I206" i="55"/>
  <c r="I186" i="55"/>
  <c r="I266" i="55"/>
  <c r="I38" i="55"/>
  <c r="I200" i="55"/>
  <c r="I213" i="55"/>
  <c r="I164" i="55"/>
  <c r="I260" i="55"/>
  <c r="I295" i="55"/>
  <c r="I166" i="55"/>
  <c r="I19" i="55"/>
  <c r="I67" i="55"/>
  <c r="I33" i="55"/>
  <c r="I98" i="55"/>
  <c r="I190" i="55"/>
  <c r="I224" i="55"/>
  <c r="I161" i="55"/>
  <c r="I257" i="55"/>
  <c r="I142" i="55"/>
  <c r="I268" i="55"/>
  <c r="I211" i="55"/>
  <c r="I66" i="55"/>
  <c r="I287" i="55"/>
  <c r="I96" i="55"/>
  <c r="I236" i="55"/>
  <c r="I273" i="55"/>
  <c r="I107" i="55"/>
  <c r="I298" i="55"/>
  <c r="I256" i="55"/>
  <c r="I210" i="55"/>
  <c r="I285" i="55"/>
  <c r="I238" i="55"/>
  <c r="I187" i="55"/>
  <c r="I172" i="55"/>
  <c r="I223" i="55"/>
  <c r="I17" i="55"/>
  <c r="I9" i="55"/>
  <c r="I55" i="55"/>
  <c r="I141" i="55"/>
  <c r="I104" i="55"/>
  <c r="I40" i="55"/>
  <c r="I126" i="55"/>
  <c r="I283" i="55"/>
  <c r="I85" i="55"/>
  <c r="I131" i="55"/>
  <c r="I136" i="55"/>
  <c r="I112" i="55"/>
  <c r="I149" i="55"/>
  <c r="I306" i="55"/>
  <c r="I82" i="55"/>
  <c r="I231" i="55"/>
  <c r="I185" i="55"/>
  <c r="I239" i="55"/>
  <c r="I76" i="55"/>
  <c r="I75" i="55"/>
  <c r="I60" i="55"/>
  <c r="I243" i="55"/>
  <c r="I209" i="55"/>
  <c r="I29" i="55"/>
  <c r="I302" i="55"/>
  <c r="I251" i="55"/>
  <c r="I160" i="55"/>
  <c r="I176" i="55"/>
  <c r="E13" i="57"/>
  <c r="H13" i="57" s="1"/>
  <c r="I253" i="55"/>
  <c r="N30" i="45"/>
  <c r="U308" i="9"/>
  <c r="I8" i="55" l="1"/>
  <c r="V308" i="9"/>
  <c r="I308" i="55" l="1"/>
  <c r="M36" i="45" l="1"/>
  <c r="M38" i="45"/>
  <c r="E266" i="9" l="1"/>
  <c r="F266" i="9" s="1"/>
  <c r="E250" i="9"/>
  <c r="F250" i="9" s="1"/>
  <c r="E249" i="9"/>
  <c r="F249" i="9" s="1"/>
  <c r="E210" i="9"/>
  <c r="F210" i="9" s="1"/>
  <c r="E11" i="9"/>
  <c r="X308" i="53"/>
  <c r="F11" i="9" l="1"/>
  <c r="E308" i="9"/>
  <c r="I4" i="9" l="1"/>
  <c r="G11" i="9" l="1"/>
  <c r="H11" i="9" s="1"/>
  <c r="I11" i="9" s="1"/>
  <c r="G11" i="55" s="1"/>
  <c r="J11" i="55" s="1"/>
  <c r="P11" i="55" s="1"/>
  <c r="G266" i="9"/>
  <c r="H266" i="9" s="1"/>
  <c r="I266" i="9" s="1"/>
  <c r="G266" i="55" s="1"/>
  <c r="J266" i="55" s="1"/>
  <c r="P266" i="55" s="1"/>
  <c r="G97" i="9"/>
  <c r="H97" i="9" s="1"/>
  <c r="I97" i="9" s="1"/>
  <c r="G97" i="55" s="1"/>
  <c r="J97" i="55" s="1"/>
  <c r="P97" i="55" s="1"/>
  <c r="G102" i="9"/>
  <c r="H102" i="9" s="1"/>
  <c r="I102" i="9" s="1"/>
  <c r="G102" i="55" s="1"/>
  <c r="J102" i="55" s="1"/>
  <c r="P102" i="55" s="1"/>
  <c r="G244" i="9"/>
  <c r="H244" i="9" s="1"/>
  <c r="I244" i="9" s="1"/>
  <c r="G244" i="55" s="1"/>
  <c r="J244" i="55" s="1"/>
  <c r="P244" i="55" s="1"/>
  <c r="G59" i="9"/>
  <c r="H59" i="9" s="1"/>
  <c r="I59" i="9" s="1"/>
  <c r="G59" i="55" s="1"/>
  <c r="J59" i="55" s="1"/>
  <c r="P59" i="55" s="1"/>
  <c r="G26" i="9"/>
  <c r="H26" i="9" s="1"/>
  <c r="I26" i="9" s="1"/>
  <c r="G26" i="55" s="1"/>
  <c r="J26" i="55" s="1"/>
  <c r="P26" i="55" s="1"/>
  <c r="G263" i="9"/>
  <c r="H263" i="9" s="1"/>
  <c r="I263" i="9" s="1"/>
  <c r="G263" i="55" s="1"/>
  <c r="J263" i="55" s="1"/>
  <c r="P263" i="55" s="1"/>
  <c r="G277" i="9"/>
  <c r="H277" i="9" s="1"/>
  <c r="I277" i="9" s="1"/>
  <c r="G277" i="55" s="1"/>
  <c r="J277" i="55" s="1"/>
  <c r="P277" i="55" s="1"/>
  <c r="G108" i="9"/>
  <c r="H108" i="9" s="1"/>
  <c r="I108" i="9" s="1"/>
  <c r="G108" i="55" s="1"/>
  <c r="J108" i="55" s="1"/>
  <c r="P108" i="55" s="1"/>
  <c r="G297" i="9"/>
  <c r="H297" i="9" s="1"/>
  <c r="I297" i="9" s="1"/>
  <c r="G297" i="55" s="1"/>
  <c r="J297" i="55" s="1"/>
  <c r="P297" i="55" s="1"/>
  <c r="G250" i="9"/>
  <c r="H250" i="9" s="1"/>
  <c r="I250" i="9" s="1"/>
  <c r="G250" i="55" s="1"/>
  <c r="J250" i="55" s="1"/>
  <c r="P250" i="55" s="1"/>
  <c r="G17" i="9"/>
  <c r="H17" i="9" s="1"/>
  <c r="I17" i="9" s="1"/>
  <c r="G17" i="55" s="1"/>
  <c r="J17" i="55" s="1"/>
  <c r="P17" i="55" s="1"/>
  <c r="G22" i="9"/>
  <c r="H22" i="9" s="1"/>
  <c r="I22" i="9" s="1"/>
  <c r="G22" i="55" s="1"/>
  <c r="J22" i="55" s="1"/>
  <c r="P22" i="55" s="1"/>
  <c r="G164" i="9"/>
  <c r="H164" i="9" s="1"/>
  <c r="I164" i="9" s="1"/>
  <c r="G164" i="55" s="1"/>
  <c r="J164" i="55" s="1"/>
  <c r="P164" i="55" s="1"/>
  <c r="G50" i="9"/>
  <c r="H50" i="9" s="1"/>
  <c r="I50" i="9" s="1"/>
  <c r="G50" i="55" s="1"/>
  <c r="J50" i="55" s="1"/>
  <c r="P50" i="55" s="1"/>
  <c r="G112" i="9"/>
  <c r="H112" i="9" s="1"/>
  <c r="I112" i="9" s="1"/>
  <c r="G112" i="55" s="1"/>
  <c r="J112" i="55" s="1"/>
  <c r="P112" i="55" s="1"/>
  <c r="G88" i="9"/>
  <c r="H88" i="9" s="1"/>
  <c r="I88" i="9" s="1"/>
  <c r="G88" i="55" s="1"/>
  <c r="J88" i="55" s="1"/>
  <c r="P88" i="55" s="1"/>
  <c r="G119" i="9"/>
  <c r="H119" i="9" s="1"/>
  <c r="I119" i="9" s="1"/>
  <c r="G119" i="55" s="1"/>
  <c r="J119" i="55" s="1"/>
  <c r="P119" i="55" s="1"/>
  <c r="G133" i="9"/>
  <c r="H133" i="9" s="1"/>
  <c r="I133" i="9" s="1"/>
  <c r="G133" i="55" s="1"/>
  <c r="J133" i="55" s="1"/>
  <c r="P133" i="55" s="1"/>
  <c r="G291" i="9"/>
  <c r="H291" i="9" s="1"/>
  <c r="I291" i="9" s="1"/>
  <c r="G291" i="55" s="1"/>
  <c r="J291" i="55" s="1"/>
  <c r="P291" i="55" s="1"/>
  <c r="G176" i="9"/>
  <c r="H176" i="9" s="1"/>
  <c r="I176" i="9" s="1"/>
  <c r="G176" i="55" s="1"/>
  <c r="J176" i="55" s="1"/>
  <c r="P176" i="55" s="1"/>
  <c r="G66" i="9"/>
  <c r="H66" i="9" s="1"/>
  <c r="I66" i="9" s="1"/>
  <c r="G66" i="55" s="1"/>
  <c r="J66" i="55" s="1"/>
  <c r="P66" i="55" s="1"/>
  <c r="G193" i="9"/>
  <c r="H193" i="9" s="1"/>
  <c r="I193" i="9" s="1"/>
  <c r="G193" i="55" s="1"/>
  <c r="J193" i="55" s="1"/>
  <c r="P193" i="55" s="1"/>
  <c r="G198" i="9"/>
  <c r="H198" i="9" s="1"/>
  <c r="I198" i="9" s="1"/>
  <c r="G198" i="55" s="1"/>
  <c r="J198" i="55" s="1"/>
  <c r="P198" i="55" s="1"/>
  <c r="G278" i="9"/>
  <c r="H278" i="9" s="1"/>
  <c r="I278" i="9" s="1"/>
  <c r="G278" i="55" s="1"/>
  <c r="J278" i="55" s="1"/>
  <c r="P278" i="55" s="1"/>
  <c r="G155" i="9"/>
  <c r="H155" i="9" s="1"/>
  <c r="I155" i="9" s="1"/>
  <c r="G155" i="55" s="1"/>
  <c r="J155" i="55" s="1"/>
  <c r="P155" i="55" s="1"/>
  <c r="G210" i="9"/>
  <c r="H210" i="9" s="1"/>
  <c r="I210" i="9" s="1"/>
  <c r="G210" i="55" s="1"/>
  <c r="J210" i="55" s="1"/>
  <c r="P210" i="55" s="1"/>
  <c r="G154" i="9"/>
  <c r="H154" i="9" s="1"/>
  <c r="I154" i="9" s="1"/>
  <c r="G154" i="55" s="1"/>
  <c r="J154" i="55" s="1"/>
  <c r="P154" i="55" s="1"/>
  <c r="G295" i="9"/>
  <c r="H295" i="9" s="1"/>
  <c r="I295" i="9" s="1"/>
  <c r="G295" i="55" s="1"/>
  <c r="J295" i="55" s="1"/>
  <c r="P295" i="55" s="1"/>
  <c r="G254" i="9"/>
  <c r="H254" i="9" s="1"/>
  <c r="I254" i="9" s="1"/>
  <c r="G254" i="55" s="1"/>
  <c r="J254" i="55" s="1"/>
  <c r="P254" i="55" s="1"/>
  <c r="G140" i="9"/>
  <c r="H140" i="9" s="1"/>
  <c r="I140" i="9" s="1"/>
  <c r="G140" i="55" s="1"/>
  <c r="J140" i="55" s="1"/>
  <c r="P140" i="55" s="1"/>
  <c r="G208" i="9"/>
  <c r="H208" i="9" s="1"/>
  <c r="I208" i="9" s="1"/>
  <c r="G208" i="55" s="1"/>
  <c r="J208" i="55" s="1"/>
  <c r="P208" i="55" s="1"/>
  <c r="G178" i="9"/>
  <c r="H178" i="9" s="1"/>
  <c r="I178" i="9" s="1"/>
  <c r="G178" i="55" s="1"/>
  <c r="J178" i="55" s="1"/>
  <c r="P178" i="55" s="1"/>
  <c r="G305" i="9"/>
  <c r="H305" i="9" s="1"/>
  <c r="I305" i="9" s="1"/>
  <c r="G305" i="55" s="1"/>
  <c r="J305" i="55" s="1"/>
  <c r="P305" i="55" s="1"/>
  <c r="G95" i="9"/>
  <c r="H95" i="9" s="1"/>
  <c r="I95" i="9" s="1"/>
  <c r="G95" i="55" s="1"/>
  <c r="J95" i="55" s="1"/>
  <c r="P95" i="55" s="1"/>
  <c r="G109" i="9"/>
  <c r="H109" i="9" s="1"/>
  <c r="I109" i="9" s="1"/>
  <c r="G109" i="55" s="1"/>
  <c r="J109" i="55" s="1"/>
  <c r="P109" i="55" s="1"/>
  <c r="G267" i="9"/>
  <c r="H267" i="9" s="1"/>
  <c r="I267" i="9" s="1"/>
  <c r="G267" i="55" s="1"/>
  <c r="J267" i="55" s="1"/>
  <c r="P267" i="55" s="1"/>
  <c r="G225" i="9"/>
  <c r="H225" i="9" s="1"/>
  <c r="I225" i="9" s="1"/>
  <c r="G225" i="55" s="1"/>
  <c r="J225" i="55" s="1"/>
  <c r="P225" i="55" s="1"/>
  <c r="G92" i="9"/>
  <c r="H92" i="9" s="1"/>
  <c r="I92" i="9" s="1"/>
  <c r="G92" i="55" s="1"/>
  <c r="J92" i="55" s="1"/>
  <c r="P92" i="55" s="1"/>
  <c r="G160" i="9"/>
  <c r="H160" i="9" s="1"/>
  <c r="I160" i="9" s="1"/>
  <c r="G160" i="55" s="1"/>
  <c r="J160" i="55" s="1"/>
  <c r="P160" i="55" s="1"/>
  <c r="G60" i="9"/>
  <c r="H60" i="9" s="1"/>
  <c r="I60" i="9" s="1"/>
  <c r="G60" i="55" s="1"/>
  <c r="J60" i="55" s="1"/>
  <c r="P60" i="55" s="1"/>
  <c r="G166" i="9"/>
  <c r="H166" i="9" s="1"/>
  <c r="I166" i="9" s="1"/>
  <c r="G166" i="55" s="1"/>
  <c r="G30" i="9"/>
  <c r="H30" i="9" s="1"/>
  <c r="I30" i="9" s="1"/>
  <c r="G30" i="55" s="1"/>
  <c r="J30" i="55" s="1"/>
  <c r="P30" i="55" s="1"/>
  <c r="G81" i="9"/>
  <c r="H81" i="9" s="1"/>
  <c r="I81" i="9" s="1"/>
  <c r="G81" i="55" s="1"/>
  <c r="J81" i="55" s="1"/>
  <c r="P81" i="55" s="1"/>
  <c r="G288" i="9"/>
  <c r="H288" i="9" s="1"/>
  <c r="I288" i="9" s="1"/>
  <c r="G288" i="55" s="1"/>
  <c r="J288" i="55" s="1"/>
  <c r="P288" i="55" s="1"/>
  <c r="G257" i="9"/>
  <c r="H257" i="9" s="1"/>
  <c r="I257" i="9" s="1"/>
  <c r="G257" i="55" s="1"/>
  <c r="J257" i="55" s="1"/>
  <c r="P257" i="55" s="1"/>
  <c r="G57" i="9"/>
  <c r="H57" i="9" s="1"/>
  <c r="I57" i="9" s="1"/>
  <c r="G57" i="55" s="1"/>
  <c r="J57" i="55" s="1"/>
  <c r="P57" i="55" s="1"/>
  <c r="G248" i="9"/>
  <c r="H248" i="9" s="1"/>
  <c r="I248" i="9" s="1"/>
  <c r="G248" i="55" s="1"/>
  <c r="J248" i="55" s="1"/>
  <c r="P248" i="55" s="1"/>
  <c r="G170" i="9"/>
  <c r="H170" i="9" s="1"/>
  <c r="I170" i="9" s="1"/>
  <c r="G170" i="55" s="1"/>
  <c r="J170" i="55" s="1"/>
  <c r="P170" i="55" s="1"/>
  <c r="G256" i="9"/>
  <c r="H256" i="9" s="1"/>
  <c r="I256" i="9" s="1"/>
  <c r="G256" i="55" s="1"/>
  <c r="J256" i="55" s="1"/>
  <c r="P256" i="55" s="1"/>
  <c r="G33" i="9"/>
  <c r="H33" i="9" s="1"/>
  <c r="I33" i="9" s="1"/>
  <c r="G33" i="55" s="1"/>
  <c r="J33" i="55" s="1"/>
  <c r="P33" i="55" s="1"/>
  <c r="G38" i="9"/>
  <c r="H38" i="9" s="1"/>
  <c r="I38" i="9" s="1"/>
  <c r="G38" i="55" s="1"/>
  <c r="J38" i="55" s="1"/>
  <c r="P38" i="55" s="1"/>
  <c r="G180" i="9"/>
  <c r="H180" i="9" s="1"/>
  <c r="I180" i="9" s="1"/>
  <c r="G180" i="55" s="1"/>
  <c r="J180" i="55" s="1"/>
  <c r="P180" i="55" s="1"/>
  <c r="G98" i="9"/>
  <c r="H98" i="9" s="1"/>
  <c r="I98" i="9" s="1"/>
  <c r="G98" i="55" s="1"/>
  <c r="J98" i="55" s="1"/>
  <c r="P98" i="55" s="1"/>
  <c r="G258" i="9"/>
  <c r="H258" i="9" s="1"/>
  <c r="I258" i="9" s="1"/>
  <c r="G258" i="55" s="1"/>
  <c r="J258" i="55" s="1"/>
  <c r="P258" i="55" s="1"/>
  <c r="G199" i="9"/>
  <c r="H199" i="9" s="1"/>
  <c r="I199" i="9" s="1"/>
  <c r="G199" i="55" s="1"/>
  <c r="J199" i="55" s="1"/>
  <c r="P199" i="55" s="1"/>
  <c r="G213" i="9"/>
  <c r="H213" i="9" s="1"/>
  <c r="I213" i="9" s="1"/>
  <c r="G213" i="55" s="1"/>
  <c r="J213" i="55" s="1"/>
  <c r="P213" i="55" s="1"/>
  <c r="G44" i="9"/>
  <c r="H44" i="9" s="1"/>
  <c r="I44" i="9" s="1"/>
  <c r="G44" i="55" s="1"/>
  <c r="J44" i="55" s="1"/>
  <c r="P44" i="55" s="1"/>
  <c r="G279" i="9"/>
  <c r="H279" i="9" s="1"/>
  <c r="I279" i="9" s="1"/>
  <c r="G279" i="55" s="1"/>
  <c r="J279" i="55" s="1"/>
  <c r="P279" i="55" s="1"/>
  <c r="G274" i="9"/>
  <c r="H274" i="9" s="1"/>
  <c r="I274" i="9" s="1"/>
  <c r="G274" i="55" s="1"/>
  <c r="J274" i="55" s="1"/>
  <c r="P274" i="55" s="1"/>
  <c r="G255" i="9"/>
  <c r="H255" i="9" s="1"/>
  <c r="I255" i="9" s="1"/>
  <c r="G255" i="55" s="1"/>
  <c r="J255" i="55" s="1"/>
  <c r="P255" i="55" s="1"/>
  <c r="G269" i="9"/>
  <c r="H269" i="9" s="1"/>
  <c r="I269" i="9" s="1"/>
  <c r="G269" i="55" s="1"/>
  <c r="J269" i="55" s="1"/>
  <c r="P269" i="55" s="1"/>
  <c r="G100" i="9"/>
  <c r="H100" i="9" s="1"/>
  <c r="I100" i="9" s="1"/>
  <c r="G100" i="55" s="1"/>
  <c r="J100" i="55" s="1"/>
  <c r="P100" i="55" s="1"/>
  <c r="G233" i="9"/>
  <c r="H233" i="9" s="1"/>
  <c r="I233" i="9" s="1"/>
  <c r="G233" i="55" s="1"/>
  <c r="J233" i="55" s="1"/>
  <c r="P233" i="55" s="1"/>
  <c r="G114" i="9"/>
  <c r="H114" i="9" s="1"/>
  <c r="I114" i="9" s="1"/>
  <c r="G114" i="55" s="1"/>
  <c r="J114" i="55" s="1"/>
  <c r="P114" i="55" s="1"/>
  <c r="G265" i="9"/>
  <c r="H265" i="9" s="1"/>
  <c r="I265" i="9" s="1"/>
  <c r="G265" i="55" s="1"/>
  <c r="J265" i="55" s="1"/>
  <c r="P265" i="55" s="1"/>
  <c r="G55" i="9"/>
  <c r="H55" i="9" s="1"/>
  <c r="I55" i="9" s="1"/>
  <c r="G55" i="55" s="1"/>
  <c r="J55" i="55" s="1"/>
  <c r="P55" i="55" s="1"/>
  <c r="G69" i="9"/>
  <c r="H69" i="9" s="1"/>
  <c r="I69" i="9" s="1"/>
  <c r="G69" i="55" s="1"/>
  <c r="J69" i="55" s="1"/>
  <c r="P69" i="55" s="1"/>
  <c r="G227" i="9"/>
  <c r="H227" i="9" s="1"/>
  <c r="I227" i="9" s="1"/>
  <c r="G227" i="55" s="1"/>
  <c r="J227" i="55" s="1"/>
  <c r="P227" i="55" s="1"/>
  <c r="G232" i="9"/>
  <c r="H232" i="9" s="1"/>
  <c r="I232" i="9" s="1"/>
  <c r="G232" i="55" s="1"/>
  <c r="J232" i="55" s="1"/>
  <c r="P232" i="55" s="1"/>
  <c r="G224" i="9"/>
  <c r="H224" i="9" s="1"/>
  <c r="I224" i="9" s="1"/>
  <c r="G224" i="55" s="1"/>
  <c r="J224" i="55" s="1"/>
  <c r="P224" i="55" s="1"/>
  <c r="G129" i="9"/>
  <c r="H129" i="9" s="1"/>
  <c r="I129" i="9" s="1"/>
  <c r="G129" i="55" s="1"/>
  <c r="J129" i="55" s="1"/>
  <c r="P129" i="55" s="1"/>
  <c r="G134" i="9"/>
  <c r="H134" i="9" s="1"/>
  <c r="I134" i="9" s="1"/>
  <c r="G134" i="55" s="1"/>
  <c r="J134" i="55" s="1"/>
  <c r="P134" i="55" s="1"/>
  <c r="G276" i="9"/>
  <c r="H276" i="9" s="1"/>
  <c r="I276" i="9" s="1"/>
  <c r="G276" i="55" s="1"/>
  <c r="J276" i="55" s="1"/>
  <c r="P276" i="55" s="1"/>
  <c r="G91" i="9"/>
  <c r="H91" i="9" s="1"/>
  <c r="I91" i="9" s="1"/>
  <c r="G91" i="55" s="1"/>
  <c r="J91" i="55" s="1"/>
  <c r="P91" i="55" s="1"/>
  <c r="G80" i="9"/>
  <c r="H80" i="9" s="1"/>
  <c r="I80" i="9" s="1"/>
  <c r="G80" i="55" s="1"/>
  <c r="J80" i="55" s="1"/>
  <c r="P80" i="55" s="1"/>
  <c r="G42" i="9"/>
  <c r="H42" i="9" s="1"/>
  <c r="I42" i="9" s="1"/>
  <c r="G42" i="55" s="1"/>
  <c r="J42" i="55" s="1"/>
  <c r="P42" i="55" s="1"/>
  <c r="G231" i="9"/>
  <c r="H231" i="9" s="1"/>
  <c r="I231" i="9" s="1"/>
  <c r="G231" i="55" s="1"/>
  <c r="J231" i="55" s="1"/>
  <c r="P231" i="55" s="1"/>
  <c r="G245" i="9"/>
  <c r="H245" i="9" s="1"/>
  <c r="I245" i="9" s="1"/>
  <c r="G245" i="55" s="1"/>
  <c r="J245" i="55" s="1"/>
  <c r="P245" i="55" s="1"/>
  <c r="G76" i="9"/>
  <c r="H76" i="9" s="1"/>
  <c r="I76" i="9" s="1"/>
  <c r="G76" i="55" s="1"/>
  <c r="J76" i="55" s="1"/>
  <c r="P76" i="55" s="1"/>
  <c r="G200" i="9"/>
  <c r="H200" i="9" s="1"/>
  <c r="I200" i="9" s="1"/>
  <c r="G200" i="55" s="1"/>
  <c r="J200" i="55" s="1"/>
  <c r="P200" i="55" s="1"/>
  <c r="G202" i="9"/>
  <c r="H202" i="9" s="1"/>
  <c r="I202" i="9" s="1"/>
  <c r="G202" i="55" s="1"/>
  <c r="J202" i="55" s="1"/>
  <c r="P202" i="55" s="1"/>
  <c r="G241" i="9"/>
  <c r="H241" i="9" s="1"/>
  <c r="I241" i="9" s="1"/>
  <c r="G241" i="55" s="1"/>
  <c r="J241" i="55" s="1"/>
  <c r="P241" i="55" s="1"/>
  <c r="G31" i="9"/>
  <c r="H31" i="9" s="1"/>
  <c r="I31" i="9" s="1"/>
  <c r="G31" i="55" s="1"/>
  <c r="J31" i="55" s="1"/>
  <c r="P31" i="55" s="1"/>
  <c r="G45" i="9"/>
  <c r="H45" i="9" s="1"/>
  <c r="I45" i="9" s="1"/>
  <c r="G45" i="55" s="1"/>
  <c r="J45" i="55" s="1"/>
  <c r="P45" i="55" s="1"/>
  <c r="G203" i="9"/>
  <c r="H203" i="9" s="1"/>
  <c r="I203" i="9" s="1"/>
  <c r="G203" i="55" s="1"/>
  <c r="J203" i="55" s="1"/>
  <c r="P203" i="55" s="1"/>
  <c r="G15" i="9"/>
  <c r="H15" i="9" s="1"/>
  <c r="I15" i="9" s="1"/>
  <c r="G15" i="55" s="1"/>
  <c r="J15" i="55" s="1"/>
  <c r="P15" i="55" s="1"/>
  <c r="G94" i="9"/>
  <c r="H94" i="9" s="1"/>
  <c r="I94" i="9" s="1"/>
  <c r="G94" i="55" s="1"/>
  <c r="J94" i="55" s="1"/>
  <c r="P94" i="55" s="1"/>
  <c r="G51" i="9"/>
  <c r="H51" i="9" s="1"/>
  <c r="I51" i="9" s="1"/>
  <c r="G51" i="55" s="1"/>
  <c r="J51" i="55" s="1"/>
  <c r="P51" i="55" s="1"/>
  <c r="G145" i="9"/>
  <c r="H145" i="9" s="1"/>
  <c r="I145" i="9" s="1"/>
  <c r="G145" i="55" s="1"/>
  <c r="J145" i="55" s="1"/>
  <c r="P145" i="55" s="1"/>
  <c r="G292" i="9"/>
  <c r="H292" i="9" s="1"/>
  <c r="I292" i="9" s="1"/>
  <c r="G292" i="55" s="1"/>
  <c r="J292" i="55" s="1"/>
  <c r="P292" i="55" s="1"/>
  <c r="G144" i="9"/>
  <c r="H144" i="9" s="1"/>
  <c r="I144" i="9" s="1"/>
  <c r="G144" i="55" s="1"/>
  <c r="J144" i="55" s="1"/>
  <c r="P144" i="55" s="1"/>
  <c r="G261" i="9"/>
  <c r="H261" i="9" s="1"/>
  <c r="I261" i="9" s="1"/>
  <c r="G261" i="55" s="1"/>
  <c r="J261" i="55" s="1"/>
  <c r="P261" i="55" s="1"/>
  <c r="G56" i="9"/>
  <c r="H56" i="9" s="1"/>
  <c r="I56" i="9" s="1"/>
  <c r="G56" i="55" s="1"/>
  <c r="J56" i="55" s="1"/>
  <c r="P56" i="55" s="1"/>
  <c r="G106" i="9"/>
  <c r="H106" i="9" s="1"/>
  <c r="I106" i="9" s="1"/>
  <c r="G106" i="55" s="1"/>
  <c r="J106" i="55" s="1"/>
  <c r="P106" i="55" s="1"/>
  <c r="G126" i="9"/>
  <c r="H126" i="9" s="1"/>
  <c r="I126" i="9" s="1"/>
  <c r="G126" i="55" s="1"/>
  <c r="J126" i="55" s="1"/>
  <c r="P126" i="55" s="1"/>
  <c r="G237" i="9"/>
  <c r="H237" i="9" s="1"/>
  <c r="I237" i="9" s="1"/>
  <c r="G237" i="55" s="1"/>
  <c r="J237" i="55" s="1"/>
  <c r="P237" i="55" s="1"/>
  <c r="G131" i="9"/>
  <c r="H131" i="9" s="1"/>
  <c r="I131" i="9" s="1"/>
  <c r="G131" i="55" s="1"/>
  <c r="J131" i="55" s="1"/>
  <c r="P131" i="55" s="1"/>
  <c r="G10" i="9"/>
  <c r="H10" i="9" s="1"/>
  <c r="I10" i="9" s="1"/>
  <c r="G10" i="55" s="1"/>
  <c r="J10" i="55" s="1"/>
  <c r="P10" i="55" s="1"/>
  <c r="G43" i="9"/>
  <c r="H43" i="9" s="1"/>
  <c r="I43" i="9" s="1"/>
  <c r="G43" i="55" s="1"/>
  <c r="J43" i="55" s="1"/>
  <c r="P43" i="55" s="1"/>
  <c r="G197" i="9"/>
  <c r="H197" i="9" s="1"/>
  <c r="I197" i="9" s="1"/>
  <c r="G197" i="55" s="1"/>
  <c r="J197" i="55" s="1"/>
  <c r="P197" i="55" s="1"/>
  <c r="G61" i="9"/>
  <c r="H61" i="9" s="1"/>
  <c r="I61" i="9" s="1"/>
  <c r="G61" i="55" s="1"/>
  <c r="J61" i="55" s="1"/>
  <c r="P61" i="55" s="1"/>
  <c r="G62" i="9"/>
  <c r="H62" i="9" s="1"/>
  <c r="I62" i="9" s="1"/>
  <c r="G62" i="55" s="1"/>
  <c r="J62" i="55" s="1"/>
  <c r="P62" i="55" s="1"/>
  <c r="G173" i="9"/>
  <c r="H173" i="9" s="1"/>
  <c r="I173" i="9" s="1"/>
  <c r="G173" i="55" s="1"/>
  <c r="J173" i="55" s="1"/>
  <c r="P173" i="55" s="1"/>
  <c r="G216" i="9"/>
  <c r="H216" i="9" s="1"/>
  <c r="I216" i="9" s="1"/>
  <c r="G216" i="55" s="1"/>
  <c r="J216" i="55" s="1"/>
  <c r="P216" i="55" s="1"/>
  <c r="G58" i="9"/>
  <c r="H58" i="9" s="1"/>
  <c r="I58" i="9" s="1"/>
  <c r="G58" i="55" s="1"/>
  <c r="J58" i="55" s="1"/>
  <c r="P58" i="55" s="1"/>
  <c r="G271" i="9"/>
  <c r="H271" i="9" s="1"/>
  <c r="I271" i="9" s="1"/>
  <c r="G271" i="55" s="1"/>
  <c r="J271" i="55" s="1"/>
  <c r="P271" i="55" s="1"/>
  <c r="G285" i="9"/>
  <c r="H285" i="9" s="1"/>
  <c r="I285" i="9" s="1"/>
  <c r="G285" i="55" s="1"/>
  <c r="J285" i="55" s="1"/>
  <c r="P285" i="55" s="1"/>
  <c r="G116" i="9"/>
  <c r="H116" i="9" s="1"/>
  <c r="I116" i="9" s="1"/>
  <c r="G116" i="55" s="1"/>
  <c r="J116" i="55" s="1"/>
  <c r="P116" i="55" s="1"/>
  <c r="G169" i="9"/>
  <c r="H169" i="9" s="1"/>
  <c r="I169" i="9" s="1"/>
  <c r="G169" i="55" s="1"/>
  <c r="J169" i="55" s="1"/>
  <c r="P169" i="55" s="1"/>
  <c r="G152" i="9"/>
  <c r="H152" i="9" s="1"/>
  <c r="I152" i="9" s="1"/>
  <c r="G152" i="55" s="1"/>
  <c r="J152" i="55" s="1"/>
  <c r="P152" i="55" s="1"/>
  <c r="G135" i="9"/>
  <c r="H135" i="9" s="1"/>
  <c r="I135" i="9" s="1"/>
  <c r="G135" i="55" s="1"/>
  <c r="J135" i="55" s="1"/>
  <c r="P135" i="55" s="1"/>
  <c r="G149" i="9"/>
  <c r="H149" i="9" s="1"/>
  <c r="I149" i="9" s="1"/>
  <c r="G149" i="55" s="1"/>
  <c r="J149" i="55" s="1"/>
  <c r="P149" i="55" s="1"/>
  <c r="G307" i="9"/>
  <c r="H307" i="9" s="1"/>
  <c r="I307" i="9" s="1"/>
  <c r="G307" i="55" s="1"/>
  <c r="J307" i="55" s="1"/>
  <c r="P307" i="55" s="1"/>
  <c r="G46" i="9"/>
  <c r="H46" i="9" s="1"/>
  <c r="I46" i="9" s="1"/>
  <c r="G46" i="55" s="1"/>
  <c r="J46" i="55" s="1"/>
  <c r="P46" i="55" s="1"/>
  <c r="G162" i="9"/>
  <c r="H162" i="9" s="1"/>
  <c r="I162" i="9" s="1"/>
  <c r="G162" i="55" s="1"/>
  <c r="J162" i="55" s="1"/>
  <c r="P162" i="55" s="1"/>
  <c r="G191" i="9"/>
  <c r="H191" i="9" s="1"/>
  <c r="I191" i="9" s="1"/>
  <c r="G191" i="55" s="1"/>
  <c r="J191" i="55" s="1"/>
  <c r="P191" i="55" s="1"/>
  <c r="G205" i="9"/>
  <c r="H205" i="9" s="1"/>
  <c r="I205" i="9" s="1"/>
  <c r="G205" i="55" s="1"/>
  <c r="J205" i="55" s="1"/>
  <c r="P205" i="55" s="1"/>
  <c r="G36" i="9"/>
  <c r="H36" i="9" s="1"/>
  <c r="I36" i="9" s="1"/>
  <c r="G36" i="55" s="1"/>
  <c r="J36" i="55" s="1"/>
  <c r="P36" i="55" s="1"/>
  <c r="G151" i="9"/>
  <c r="H151" i="9" s="1"/>
  <c r="I151" i="9" s="1"/>
  <c r="G151" i="55" s="1"/>
  <c r="J151" i="55" s="1"/>
  <c r="P151" i="55" s="1"/>
  <c r="G130" i="9"/>
  <c r="H130" i="9" s="1"/>
  <c r="I130" i="9" s="1"/>
  <c r="G130" i="55" s="1"/>
  <c r="J130" i="55" s="1"/>
  <c r="P130" i="55" s="1"/>
  <c r="G201" i="9"/>
  <c r="H201" i="9" s="1"/>
  <c r="I201" i="9" s="1"/>
  <c r="G201" i="55" s="1"/>
  <c r="J201" i="55" s="1"/>
  <c r="P201" i="55" s="1"/>
  <c r="G214" i="9"/>
  <c r="H214" i="9" s="1"/>
  <c r="I214" i="9" s="1"/>
  <c r="G214" i="55" s="1"/>
  <c r="J214" i="55" s="1"/>
  <c r="P214" i="55" s="1"/>
  <c r="G302" i="9"/>
  <c r="H302" i="9" s="1"/>
  <c r="I302" i="9" s="1"/>
  <c r="G302" i="55" s="1"/>
  <c r="J302" i="55" s="1"/>
  <c r="P302" i="55" s="1"/>
  <c r="G163" i="9"/>
  <c r="H163" i="9" s="1"/>
  <c r="I163" i="9" s="1"/>
  <c r="G163" i="55" s="1"/>
  <c r="J163" i="55" s="1"/>
  <c r="P163" i="55" s="1"/>
  <c r="G282" i="9"/>
  <c r="H282" i="9" s="1"/>
  <c r="I282" i="9" s="1"/>
  <c r="G282" i="55" s="1"/>
  <c r="J282" i="55" s="1"/>
  <c r="P282" i="55" s="1"/>
  <c r="G298" i="9"/>
  <c r="H298" i="9" s="1"/>
  <c r="I298" i="9" s="1"/>
  <c r="G298" i="55" s="1"/>
  <c r="J298" i="55" s="1"/>
  <c r="P298" i="55" s="1"/>
  <c r="G65" i="9"/>
  <c r="H65" i="9" s="1"/>
  <c r="I65" i="9" s="1"/>
  <c r="G65" i="55" s="1"/>
  <c r="J65" i="55" s="1"/>
  <c r="P65" i="55" s="1"/>
  <c r="G70" i="9"/>
  <c r="H70" i="9" s="1"/>
  <c r="I70" i="9" s="1"/>
  <c r="G70" i="55" s="1"/>
  <c r="J70" i="55" s="1"/>
  <c r="P70" i="55" s="1"/>
  <c r="G212" i="9"/>
  <c r="H212" i="9" s="1"/>
  <c r="I212" i="9" s="1"/>
  <c r="G212" i="55" s="1"/>
  <c r="J212" i="55" s="1"/>
  <c r="P212" i="55" s="1"/>
  <c r="G27" i="9"/>
  <c r="H27" i="9" s="1"/>
  <c r="I27" i="9" s="1"/>
  <c r="G27" i="55" s="1"/>
  <c r="J27" i="55" s="1"/>
  <c r="P27" i="55" s="1"/>
  <c r="G272" i="9"/>
  <c r="H272" i="9" s="1"/>
  <c r="I272" i="9" s="1"/>
  <c r="G272" i="55" s="1"/>
  <c r="J272" i="55" s="1"/>
  <c r="P272" i="55" s="1"/>
  <c r="G280" i="9"/>
  <c r="H280" i="9" s="1"/>
  <c r="I280" i="9" s="1"/>
  <c r="G280" i="55" s="1"/>
  <c r="J280" i="55" s="1"/>
  <c r="P280" i="55" s="1"/>
  <c r="G167" i="9"/>
  <c r="H167" i="9" s="1"/>
  <c r="I167" i="9" s="1"/>
  <c r="G167" i="55" s="1"/>
  <c r="J167" i="55" s="1"/>
  <c r="P167" i="55" s="1"/>
  <c r="G181" i="9"/>
  <c r="H181" i="9" s="1"/>
  <c r="I181" i="9" s="1"/>
  <c r="G181" i="55" s="1"/>
  <c r="J181" i="55" s="1"/>
  <c r="P181" i="55" s="1"/>
  <c r="G12" i="9"/>
  <c r="H12" i="9" s="1"/>
  <c r="I12" i="9" s="1"/>
  <c r="G12" i="55" s="1"/>
  <c r="J12" i="55" s="1"/>
  <c r="P12" i="55" s="1"/>
  <c r="G105" i="9"/>
  <c r="H105" i="9" s="1"/>
  <c r="I105" i="9" s="1"/>
  <c r="G105" i="55" s="1"/>
  <c r="J105" i="55" s="1"/>
  <c r="P105" i="55" s="1"/>
  <c r="G242" i="9"/>
  <c r="H242" i="9" s="1"/>
  <c r="I242" i="9" s="1"/>
  <c r="G242" i="55" s="1"/>
  <c r="J242" i="55" s="1"/>
  <c r="P242" i="55" s="1"/>
  <c r="G177" i="9"/>
  <c r="H177" i="9" s="1"/>
  <c r="I177" i="9" s="1"/>
  <c r="G177" i="55" s="1"/>
  <c r="J177" i="55" s="1"/>
  <c r="P177" i="55" s="1"/>
  <c r="G182" i="9"/>
  <c r="H182" i="9" s="1"/>
  <c r="I182" i="9" s="1"/>
  <c r="G182" i="55" s="1"/>
  <c r="J182" i="55" s="1"/>
  <c r="P182" i="55" s="1"/>
  <c r="G206" i="9"/>
  <c r="H206" i="9" s="1"/>
  <c r="I206" i="9" s="1"/>
  <c r="G206" i="55" s="1"/>
  <c r="J206" i="55" s="1"/>
  <c r="P206" i="55" s="1"/>
  <c r="G139" i="9"/>
  <c r="H139" i="9" s="1"/>
  <c r="I139" i="9" s="1"/>
  <c r="G139" i="55" s="1"/>
  <c r="J139" i="55" s="1"/>
  <c r="P139" i="55" s="1"/>
  <c r="G113" i="9"/>
  <c r="H113" i="9" s="1"/>
  <c r="I113" i="9" s="1"/>
  <c r="G113" i="55" s="1"/>
  <c r="J113" i="55" s="1"/>
  <c r="P113" i="55" s="1"/>
  <c r="G29" i="9"/>
  <c r="H29" i="9" s="1"/>
  <c r="I29" i="9" s="1"/>
  <c r="G29" i="55" s="1"/>
  <c r="J29" i="55" s="1"/>
  <c r="P29" i="55" s="1"/>
  <c r="G82" i="9"/>
  <c r="H82" i="9" s="1"/>
  <c r="I82" i="9" s="1"/>
  <c r="G82" i="55" s="1"/>
  <c r="J82" i="55" s="1"/>
  <c r="P82" i="55" s="1"/>
  <c r="G283" i="9"/>
  <c r="H283" i="9" s="1"/>
  <c r="I283" i="9" s="1"/>
  <c r="G283" i="55" s="1"/>
  <c r="J283" i="55" s="1"/>
  <c r="P283" i="55" s="1"/>
  <c r="G268" i="9"/>
  <c r="H268" i="9" s="1"/>
  <c r="I268" i="9" s="1"/>
  <c r="G268" i="55" s="1"/>
  <c r="J268" i="55" s="1"/>
  <c r="P268" i="55" s="1"/>
  <c r="G161" i="9"/>
  <c r="H161" i="9" s="1"/>
  <c r="I161" i="9" s="1"/>
  <c r="G161" i="55" s="1"/>
  <c r="J161" i="55" s="1"/>
  <c r="P161" i="55" s="1"/>
  <c r="G172" i="9"/>
  <c r="H172" i="9" s="1"/>
  <c r="I172" i="9" s="1"/>
  <c r="G172" i="55" s="1"/>
  <c r="J172" i="55" s="1"/>
  <c r="P172" i="55" s="1"/>
  <c r="G86" i="9"/>
  <c r="H86" i="9" s="1"/>
  <c r="I86" i="9" s="1"/>
  <c r="G86" i="55" s="1"/>
  <c r="J86" i="55" s="1"/>
  <c r="P86" i="55" s="1"/>
  <c r="G183" i="9"/>
  <c r="H183" i="9" s="1"/>
  <c r="I183" i="9" s="1"/>
  <c r="G183" i="55" s="1"/>
  <c r="J183" i="55" s="1"/>
  <c r="P183" i="55" s="1"/>
  <c r="G306" i="9"/>
  <c r="H306" i="9" s="1"/>
  <c r="I306" i="9" s="1"/>
  <c r="G306" i="55" s="1"/>
  <c r="J306" i="55" s="1"/>
  <c r="P306" i="55" s="1"/>
  <c r="G138" i="9"/>
  <c r="H138" i="9" s="1"/>
  <c r="I138" i="9" s="1"/>
  <c r="G138" i="55" s="1"/>
  <c r="J138" i="55" s="1"/>
  <c r="P138" i="55" s="1"/>
  <c r="G240" i="9"/>
  <c r="H240" i="9" s="1"/>
  <c r="I240" i="9" s="1"/>
  <c r="G240" i="55" s="1"/>
  <c r="J240" i="55" s="1"/>
  <c r="P240" i="55" s="1"/>
  <c r="G41" i="9"/>
  <c r="H41" i="9" s="1"/>
  <c r="I41" i="9" s="1"/>
  <c r="G41" i="55" s="1"/>
  <c r="J41" i="55" s="1"/>
  <c r="P41" i="55" s="1"/>
  <c r="G72" i="9"/>
  <c r="H72" i="9" s="1"/>
  <c r="I72" i="9" s="1"/>
  <c r="G72" i="55" s="1"/>
  <c r="J72" i="55" s="1"/>
  <c r="P72" i="55" s="1"/>
  <c r="G207" i="9"/>
  <c r="H207" i="9" s="1"/>
  <c r="I207" i="9" s="1"/>
  <c r="G207" i="55" s="1"/>
  <c r="J207" i="55" s="1"/>
  <c r="P207" i="55" s="1"/>
  <c r="G221" i="9"/>
  <c r="H221" i="9" s="1"/>
  <c r="I221" i="9" s="1"/>
  <c r="G221" i="55" s="1"/>
  <c r="J221" i="55" s="1"/>
  <c r="P221" i="55" s="1"/>
  <c r="G52" i="9"/>
  <c r="H52" i="9" s="1"/>
  <c r="I52" i="9" s="1"/>
  <c r="G52" i="55" s="1"/>
  <c r="J52" i="55" s="1"/>
  <c r="P52" i="55" s="1"/>
  <c r="G87" i="9"/>
  <c r="H87" i="9" s="1"/>
  <c r="I87" i="9" s="1"/>
  <c r="G87" i="55" s="1"/>
  <c r="J87" i="55" s="1"/>
  <c r="P87" i="55" s="1"/>
  <c r="G281" i="9"/>
  <c r="H281" i="9" s="1"/>
  <c r="I281" i="9" s="1"/>
  <c r="G281" i="55" s="1"/>
  <c r="J281" i="55" s="1"/>
  <c r="P281" i="55" s="1"/>
  <c r="G71" i="9"/>
  <c r="H71" i="9" s="1"/>
  <c r="I71" i="9" s="1"/>
  <c r="G71" i="55" s="1"/>
  <c r="J71" i="55" s="1"/>
  <c r="P71" i="55" s="1"/>
  <c r="G85" i="9"/>
  <c r="H85" i="9" s="1"/>
  <c r="I85" i="9" s="1"/>
  <c r="G85" i="55" s="1"/>
  <c r="J85" i="55" s="1"/>
  <c r="P85" i="55" s="1"/>
  <c r="G243" i="9"/>
  <c r="H243" i="9" s="1"/>
  <c r="I243" i="9" s="1"/>
  <c r="G243" i="55" s="1"/>
  <c r="J243" i="55" s="1"/>
  <c r="P243" i="55" s="1"/>
  <c r="G37" i="9"/>
  <c r="H37" i="9" s="1"/>
  <c r="I37" i="9" s="1"/>
  <c r="G37" i="55" s="1"/>
  <c r="J37" i="55" s="1"/>
  <c r="P37" i="55" s="1"/>
  <c r="G120" i="9"/>
  <c r="H120" i="9" s="1"/>
  <c r="I120" i="9" s="1"/>
  <c r="G120" i="55" s="1"/>
  <c r="J120" i="55" s="1"/>
  <c r="P120" i="55" s="1"/>
  <c r="G127" i="9"/>
  <c r="H127" i="9" s="1"/>
  <c r="I127" i="9" s="1"/>
  <c r="G127" i="55" s="1"/>
  <c r="J127" i="55" s="1"/>
  <c r="P127" i="55" s="1"/>
  <c r="G141" i="9"/>
  <c r="H141" i="9" s="1"/>
  <c r="I141" i="9" s="1"/>
  <c r="G141" i="55" s="1"/>
  <c r="J141" i="55" s="1"/>
  <c r="P141" i="55" s="1"/>
  <c r="G299" i="9"/>
  <c r="H299" i="9" s="1"/>
  <c r="I299" i="9" s="1"/>
  <c r="G299" i="55" s="1"/>
  <c r="J299" i="55" s="1"/>
  <c r="P299" i="55" s="1"/>
  <c r="G165" i="9"/>
  <c r="H165" i="9" s="1"/>
  <c r="I165" i="9" s="1"/>
  <c r="G165" i="55" s="1"/>
  <c r="J165" i="55" s="1"/>
  <c r="P165" i="55" s="1"/>
  <c r="G194" i="9"/>
  <c r="H194" i="9" s="1"/>
  <c r="I194" i="9" s="1"/>
  <c r="G194" i="55" s="1"/>
  <c r="J194" i="55" s="1"/>
  <c r="P194" i="55" s="1"/>
  <c r="G137" i="9"/>
  <c r="H137" i="9" s="1"/>
  <c r="I137" i="9" s="1"/>
  <c r="G137" i="55" s="1"/>
  <c r="J137" i="55" s="1"/>
  <c r="P137" i="55" s="1"/>
  <c r="G142" i="9"/>
  <c r="H142" i="9" s="1"/>
  <c r="I142" i="9" s="1"/>
  <c r="G142" i="55" s="1"/>
  <c r="J142" i="55" s="1"/>
  <c r="P142" i="55" s="1"/>
  <c r="G284" i="9"/>
  <c r="H284" i="9" s="1"/>
  <c r="I284" i="9" s="1"/>
  <c r="G284" i="55" s="1"/>
  <c r="J284" i="55" s="1"/>
  <c r="P284" i="55" s="1"/>
  <c r="G99" i="9"/>
  <c r="H99" i="9" s="1"/>
  <c r="I99" i="9" s="1"/>
  <c r="G99" i="55" s="1"/>
  <c r="J99" i="55" s="1"/>
  <c r="P99" i="55" s="1"/>
  <c r="G168" i="9"/>
  <c r="H168" i="9" s="1"/>
  <c r="I168" i="9" s="1"/>
  <c r="G168" i="55" s="1"/>
  <c r="J168" i="55" s="1"/>
  <c r="P168" i="55" s="1"/>
  <c r="G186" i="9"/>
  <c r="H186" i="9" s="1"/>
  <c r="I186" i="9" s="1"/>
  <c r="G186" i="55" s="1"/>
  <c r="J186" i="55" s="1"/>
  <c r="P186" i="55" s="1"/>
  <c r="G303" i="9"/>
  <c r="H303" i="9" s="1"/>
  <c r="I303" i="9" s="1"/>
  <c r="G303" i="55" s="1"/>
  <c r="J303" i="55" s="1"/>
  <c r="P303" i="55" s="1"/>
  <c r="G286" i="9"/>
  <c r="H286" i="9" s="1"/>
  <c r="I286" i="9" s="1"/>
  <c r="G286" i="55" s="1"/>
  <c r="J286" i="55" s="1"/>
  <c r="P286" i="55" s="1"/>
  <c r="G148" i="9"/>
  <c r="H148" i="9" s="1"/>
  <c r="I148" i="9" s="1"/>
  <c r="G148" i="55" s="1"/>
  <c r="J148" i="55" s="1"/>
  <c r="P148" i="55" s="1"/>
  <c r="G96" i="9"/>
  <c r="H96" i="9" s="1"/>
  <c r="I96" i="9" s="1"/>
  <c r="G96" i="55" s="1"/>
  <c r="J96" i="55" s="1"/>
  <c r="P96" i="55" s="1"/>
  <c r="G16" i="9"/>
  <c r="H16" i="9" s="1"/>
  <c r="I16" i="9" s="1"/>
  <c r="G16" i="55" s="1"/>
  <c r="J16" i="55" s="1"/>
  <c r="P16" i="55" s="1"/>
  <c r="G24" i="9"/>
  <c r="H24" i="9" s="1"/>
  <c r="I24" i="9" s="1"/>
  <c r="G24" i="55" s="1"/>
  <c r="J24" i="55" s="1"/>
  <c r="P24" i="55" s="1"/>
  <c r="G103" i="9"/>
  <c r="H103" i="9" s="1"/>
  <c r="I103" i="9" s="1"/>
  <c r="G103" i="55" s="1"/>
  <c r="J103" i="55" s="1"/>
  <c r="P103" i="55" s="1"/>
  <c r="G117" i="9"/>
  <c r="H117" i="9" s="1"/>
  <c r="I117" i="9" s="1"/>
  <c r="G117" i="55" s="1"/>
  <c r="J117" i="55" s="1"/>
  <c r="P117" i="55" s="1"/>
  <c r="G275" i="9"/>
  <c r="H275" i="9" s="1"/>
  <c r="I275" i="9" s="1"/>
  <c r="G275" i="55" s="1"/>
  <c r="J275" i="55" s="1"/>
  <c r="P275" i="55" s="1"/>
  <c r="G174" i="9"/>
  <c r="H174" i="9" s="1"/>
  <c r="I174" i="9" s="1"/>
  <c r="G174" i="55" s="1"/>
  <c r="J174" i="55" s="1"/>
  <c r="P174" i="55" s="1"/>
  <c r="G128" i="9"/>
  <c r="H128" i="9" s="1"/>
  <c r="I128" i="9" s="1"/>
  <c r="G128" i="55" s="1"/>
  <c r="J128" i="55" s="1"/>
  <c r="P128" i="55" s="1"/>
  <c r="G118" i="9"/>
  <c r="H118" i="9" s="1"/>
  <c r="I118" i="9" s="1"/>
  <c r="G118" i="55" s="1"/>
  <c r="J118" i="55" s="1"/>
  <c r="G260" i="9"/>
  <c r="H260" i="9" s="1"/>
  <c r="I260" i="9" s="1"/>
  <c r="G260" i="55" s="1"/>
  <c r="J260" i="55" s="1"/>
  <c r="P260" i="55" s="1"/>
  <c r="G75" i="9"/>
  <c r="H75" i="9" s="1"/>
  <c r="I75" i="9" s="1"/>
  <c r="G75" i="55" s="1"/>
  <c r="J75" i="55" s="1"/>
  <c r="P75" i="55" s="1"/>
  <c r="G188" i="9"/>
  <c r="H188" i="9" s="1"/>
  <c r="I188" i="9" s="1"/>
  <c r="G188" i="55" s="1"/>
  <c r="J188" i="55" s="1"/>
  <c r="P188" i="55" s="1"/>
  <c r="G48" i="9"/>
  <c r="H48" i="9" s="1"/>
  <c r="I48" i="9" s="1"/>
  <c r="G48" i="55" s="1"/>
  <c r="J48" i="55" s="1"/>
  <c r="P48" i="55" s="1"/>
  <c r="G296" i="9"/>
  <c r="H296" i="9" s="1"/>
  <c r="I296" i="9" s="1"/>
  <c r="G296" i="55" s="1"/>
  <c r="J296" i="55" s="1"/>
  <c r="P296" i="55" s="1"/>
  <c r="G104" i="9"/>
  <c r="H104" i="9" s="1"/>
  <c r="I104" i="9" s="1"/>
  <c r="G104" i="55" s="1"/>
  <c r="J104" i="55" s="1"/>
  <c r="P104" i="55" s="1"/>
  <c r="G47" i="9"/>
  <c r="H47" i="9" s="1"/>
  <c r="I47" i="9" s="1"/>
  <c r="G47" i="55" s="1"/>
  <c r="J47" i="55" s="1"/>
  <c r="P47" i="55" s="1"/>
  <c r="G159" i="9"/>
  <c r="H159" i="9" s="1"/>
  <c r="I159" i="9" s="1"/>
  <c r="G159" i="55" s="1"/>
  <c r="J159" i="55" s="1"/>
  <c r="P159" i="55" s="1"/>
  <c r="G110" i="9"/>
  <c r="H110" i="9" s="1"/>
  <c r="I110" i="9" s="1"/>
  <c r="G110" i="55" s="1"/>
  <c r="J110" i="55" s="1"/>
  <c r="P110" i="55" s="1"/>
  <c r="G184" i="9"/>
  <c r="H184" i="9" s="1"/>
  <c r="I184" i="9" s="1"/>
  <c r="G184" i="55" s="1"/>
  <c r="J184" i="55" s="1"/>
  <c r="P184" i="55" s="1"/>
  <c r="G143" i="9"/>
  <c r="H143" i="9" s="1"/>
  <c r="I143" i="9" s="1"/>
  <c r="G143" i="55" s="1"/>
  <c r="J143" i="55" s="1"/>
  <c r="P143" i="55" s="1"/>
  <c r="G157" i="9"/>
  <c r="H157" i="9" s="1"/>
  <c r="I157" i="9" s="1"/>
  <c r="G157" i="55" s="1"/>
  <c r="J157" i="55" s="1"/>
  <c r="P157" i="55" s="1"/>
  <c r="G230" i="9"/>
  <c r="H230" i="9" s="1"/>
  <c r="I230" i="9" s="1"/>
  <c r="G230" i="55" s="1"/>
  <c r="J230" i="55" s="1"/>
  <c r="P230" i="55" s="1"/>
  <c r="G293" i="9"/>
  <c r="H293" i="9" s="1"/>
  <c r="I293" i="9" s="1"/>
  <c r="G293" i="55" s="1"/>
  <c r="J293" i="55" s="1"/>
  <c r="P293" i="55" s="1"/>
  <c r="G217" i="9"/>
  <c r="H217" i="9" s="1"/>
  <c r="I217" i="9" s="1"/>
  <c r="G217" i="55" s="1"/>
  <c r="J217" i="55" s="1"/>
  <c r="P217" i="55" s="1"/>
  <c r="G270" i="9"/>
  <c r="H270" i="9" s="1"/>
  <c r="I270" i="9" s="1"/>
  <c r="G270" i="55" s="1"/>
  <c r="J270" i="55" s="1"/>
  <c r="P270" i="55" s="1"/>
  <c r="G21" i="9"/>
  <c r="H21" i="9" s="1"/>
  <c r="I21" i="9" s="1"/>
  <c r="G21" i="55" s="1"/>
  <c r="J21" i="55" s="1"/>
  <c r="P21" i="55" s="1"/>
  <c r="G179" i="9"/>
  <c r="H179" i="9" s="1"/>
  <c r="I179" i="9" s="1"/>
  <c r="G179" i="55" s="1"/>
  <c r="J179" i="55" s="1"/>
  <c r="P179" i="55" s="1"/>
  <c r="G124" i="9"/>
  <c r="H124" i="9" s="1"/>
  <c r="I124" i="9" s="1"/>
  <c r="G124" i="55" s="1"/>
  <c r="J124" i="55" s="1"/>
  <c r="P124" i="55" s="1"/>
  <c r="G273" i="9"/>
  <c r="H273" i="9" s="1"/>
  <c r="I273" i="9" s="1"/>
  <c r="G273" i="55" s="1"/>
  <c r="J273" i="55" s="1"/>
  <c r="P273" i="55" s="1"/>
  <c r="G63" i="9"/>
  <c r="H63" i="9" s="1"/>
  <c r="I63" i="9" s="1"/>
  <c r="G63" i="55" s="1"/>
  <c r="J63" i="55" s="1"/>
  <c r="P63" i="55" s="1"/>
  <c r="G77" i="9"/>
  <c r="H77" i="9" s="1"/>
  <c r="I77" i="9" s="1"/>
  <c r="G77" i="55" s="1"/>
  <c r="J77" i="55" s="1"/>
  <c r="P77" i="55" s="1"/>
  <c r="G235" i="9"/>
  <c r="H235" i="9" s="1"/>
  <c r="I235" i="9" s="1"/>
  <c r="G235" i="55" s="1"/>
  <c r="J235" i="55" s="1"/>
  <c r="P235" i="55" s="1"/>
  <c r="G67" i="9"/>
  <c r="H67" i="9" s="1"/>
  <c r="I67" i="9" s="1"/>
  <c r="G67" i="55" s="1"/>
  <c r="J67" i="55" s="1"/>
  <c r="P67" i="55" s="1"/>
  <c r="G18" i="9"/>
  <c r="H18" i="9" s="1"/>
  <c r="I18" i="9" s="1"/>
  <c r="G18" i="55" s="1"/>
  <c r="J18" i="55" s="1"/>
  <c r="P18" i="55" s="1"/>
  <c r="G73" i="9"/>
  <c r="H73" i="9" s="1"/>
  <c r="I73" i="9" s="1"/>
  <c r="G73" i="55" s="1"/>
  <c r="J73" i="55" s="1"/>
  <c r="P73" i="55" s="1"/>
  <c r="G78" i="9"/>
  <c r="H78" i="9" s="1"/>
  <c r="I78" i="9" s="1"/>
  <c r="G78" i="55" s="1"/>
  <c r="J78" i="55" s="1"/>
  <c r="P78" i="55" s="1"/>
  <c r="G220" i="9"/>
  <c r="H220" i="9" s="1"/>
  <c r="I220" i="9" s="1"/>
  <c r="G220" i="55" s="1"/>
  <c r="J220" i="55" s="1"/>
  <c r="P220" i="55" s="1"/>
  <c r="G35" i="9"/>
  <c r="H35" i="9" s="1"/>
  <c r="I35" i="9" s="1"/>
  <c r="G35" i="55" s="1"/>
  <c r="J35" i="55" s="1"/>
  <c r="P35" i="55" s="1"/>
  <c r="G40" i="9"/>
  <c r="H40" i="9" s="1"/>
  <c r="I40" i="9" s="1"/>
  <c r="G40" i="55" s="1"/>
  <c r="J40" i="55" s="1"/>
  <c r="P40" i="55" s="1"/>
  <c r="G234" i="9"/>
  <c r="H234" i="9" s="1"/>
  <c r="I234" i="9" s="1"/>
  <c r="G234" i="55" s="1"/>
  <c r="J234" i="55" s="1"/>
  <c r="P234" i="55" s="1"/>
  <c r="G239" i="9"/>
  <c r="H239" i="9" s="1"/>
  <c r="I239" i="9" s="1"/>
  <c r="G239" i="55" s="1"/>
  <c r="J239" i="55" s="1"/>
  <c r="P239" i="55" s="1"/>
  <c r="G253" i="9"/>
  <c r="H253" i="9" s="1"/>
  <c r="G84" i="9"/>
  <c r="H84" i="9" s="1"/>
  <c r="I84" i="9" s="1"/>
  <c r="G84" i="55" s="1"/>
  <c r="J84" i="55" s="1"/>
  <c r="P84" i="55" s="1"/>
  <c r="G215" i="9"/>
  <c r="H215" i="9" s="1"/>
  <c r="I215" i="9" s="1"/>
  <c r="G215" i="55" s="1"/>
  <c r="J215" i="55" s="1"/>
  <c r="P215" i="55" s="1"/>
  <c r="G146" i="9"/>
  <c r="H146" i="9" s="1"/>
  <c r="I146" i="9" s="1"/>
  <c r="G146" i="55" s="1"/>
  <c r="J146" i="55" s="1"/>
  <c r="P146" i="55" s="1"/>
  <c r="G249" i="9"/>
  <c r="H249" i="9" s="1"/>
  <c r="I249" i="9" s="1"/>
  <c r="G249" i="55" s="1"/>
  <c r="J249" i="55" s="1"/>
  <c r="P249" i="55" s="1"/>
  <c r="G39" i="9"/>
  <c r="H39" i="9" s="1"/>
  <c r="I39" i="9" s="1"/>
  <c r="G39" i="55" s="1"/>
  <c r="J39" i="55" s="1"/>
  <c r="P39" i="55" s="1"/>
  <c r="G53" i="9"/>
  <c r="H53" i="9" s="1"/>
  <c r="I53" i="9" s="1"/>
  <c r="G53" i="55" s="1"/>
  <c r="J53" i="55" s="1"/>
  <c r="P53" i="55" s="1"/>
  <c r="G211" i="9"/>
  <c r="H211" i="9" s="1"/>
  <c r="I211" i="9" s="1"/>
  <c r="G211" i="55" s="1"/>
  <c r="J211" i="55" s="1"/>
  <c r="P211" i="55" s="1"/>
  <c r="G229" i="9"/>
  <c r="H229" i="9" s="1"/>
  <c r="I229" i="9" s="1"/>
  <c r="G229" i="55" s="1"/>
  <c r="J229" i="55" s="1"/>
  <c r="P229" i="55" s="1"/>
  <c r="G226" i="9"/>
  <c r="H226" i="9" s="1"/>
  <c r="I226" i="9" s="1"/>
  <c r="G226" i="55" s="1"/>
  <c r="J226" i="55" s="1"/>
  <c r="P226" i="55" s="1"/>
  <c r="G49" i="9"/>
  <c r="H49" i="9" s="1"/>
  <c r="I49" i="9" s="1"/>
  <c r="G49" i="55" s="1"/>
  <c r="J49" i="55" s="1"/>
  <c r="P49" i="55" s="1"/>
  <c r="G54" i="9"/>
  <c r="H54" i="9" s="1"/>
  <c r="I54" i="9" s="1"/>
  <c r="G54" i="55" s="1"/>
  <c r="J54" i="55" s="1"/>
  <c r="P54" i="55" s="1"/>
  <c r="G196" i="9"/>
  <c r="H196" i="9" s="1"/>
  <c r="I196" i="9" s="1"/>
  <c r="G196" i="55" s="1"/>
  <c r="J196" i="55" s="1"/>
  <c r="P196" i="55" s="1"/>
  <c r="G262" i="9"/>
  <c r="H262" i="9" s="1"/>
  <c r="I262" i="9" s="1"/>
  <c r="G262" i="55" s="1"/>
  <c r="J262" i="55" s="1"/>
  <c r="P262" i="55" s="1"/>
  <c r="G111" i="9"/>
  <c r="H111" i="9" s="1"/>
  <c r="I111" i="9" s="1"/>
  <c r="G111" i="55" s="1"/>
  <c r="J111" i="55" s="1"/>
  <c r="P111" i="55" s="1"/>
  <c r="G223" i="9"/>
  <c r="H223" i="9" s="1"/>
  <c r="I223" i="9" s="1"/>
  <c r="G223" i="55" s="1"/>
  <c r="J223" i="55" s="1"/>
  <c r="P223" i="55" s="1"/>
  <c r="G123" i="9"/>
  <c r="H123" i="9" s="1"/>
  <c r="I123" i="9" s="1"/>
  <c r="G123" i="55" s="1"/>
  <c r="J123" i="55" s="1"/>
  <c r="P123" i="55" s="1"/>
  <c r="G228" i="9"/>
  <c r="H228" i="9" s="1"/>
  <c r="I228" i="9" s="1"/>
  <c r="G228" i="55" s="1"/>
  <c r="J228" i="55" s="1"/>
  <c r="P228" i="55" s="1"/>
  <c r="G195" i="9"/>
  <c r="H195" i="9" s="1"/>
  <c r="I195" i="9" s="1"/>
  <c r="G195" i="55" s="1"/>
  <c r="J195" i="55" s="1"/>
  <c r="P195" i="55" s="1"/>
  <c r="G136" i="9"/>
  <c r="H136" i="9" s="1"/>
  <c r="I136" i="9" s="1"/>
  <c r="G136" i="55" s="1"/>
  <c r="J136" i="55" s="1"/>
  <c r="P136" i="55" s="1"/>
  <c r="G19" i="9"/>
  <c r="H19" i="9" s="1"/>
  <c r="I19" i="9" s="1"/>
  <c r="G19" i="55" s="1"/>
  <c r="J19" i="55" s="1"/>
  <c r="P19" i="55" s="1"/>
  <c r="G101" i="9"/>
  <c r="H101" i="9" s="1"/>
  <c r="I101" i="9" s="1"/>
  <c r="G101" i="55" s="1"/>
  <c r="J101" i="55" s="1"/>
  <c r="P101" i="55" s="1"/>
  <c r="G289" i="9"/>
  <c r="H289" i="9" s="1"/>
  <c r="I289" i="9" s="1"/>
  <c r="G289" i="55" s="1"/>
  <c r="J289" i="55" s="1"/>
  <c r="P289" i="55" s="1"/>
  <c r="G79" i="9"/>
  <c r="H79" i="9" s="1"/>
  <c r="I79" i="9" s="1"/>
  <c r="G79" i="55" s="1"/>
  <c r="J79" i="55" s="1"/>
  <c r="P79" i="55" s="1"/>
  <c r="G93" i="9"/>
  <c r="H93" i="9" s="1"/>
  <c r="I93" i="9" s="1"/>
  <c r="G93" i="55" s="1"/>
  <c r="J93" i="55" s="1"/>
  <c r="P93" i="55" s="1"/>
  <c r="G251" i="9"/>
  <c r="H251" i="9" s="1"/>
  <c r="I251" i="9" s="1"/>
  <c r="G251" i="55" s="1"/>
  <c r="J251" i="55" s="1"/>
  <c r="P251" i="55" s="1"/>
  <c r="G301" i="9"/>
  <c r="H301" i="9" s="1"/>
  <c r="I301" i="9" s="1"/>
  <c r="G301" i="55" s="1"/>
  <c r="J301" i="55" s="1"/>
  <c r="P301" i="55" s="1"/>
  <c r="G153" i="9"/>
  <c r="H153" i="9" s="1"/>
  <c r="I153" i="9" s="1"/>
  <c r="G153" i="55" s="1"/>
  <c r="J153" i="55" s="1"/>
  <c r="P153" i="55" s="1"/>
  <c r="G158" i="9"/>
  <c r="H158" i="9" s="1"/>
  <c r="I158" i="9" s="1"/>
  <c r="G158" i="55" s="1"/>
  <c r="J158" i="55" s="1"/>
  <c r="P158" i="55" s="1"/>
  <c r="G300" i="9"/>
  <c r="H300" i="9" s="1"/>
  <c r="I300" i="9" s="1"/>
  <c r="G300" i="55" s="1"/>
  <c r="J300" i="55" s="1"/>
  <c r="P300" i="55" s="1"/>
  <c r="G115" i="9"/>
  <c r="H115" i="9" s="1"/>
  <c r="I115" i="9" s="1"/>
  <c r="G115" i="55" s="1"/>
  <c r="J115" i="55" s="1"/>
  <c r="P115" i="55" s="1"/>
  <c r="G259" i="9"/>
  <c r="H259" i="9" s="1"/>
  <c r="I259" i="9" s="1"/>
  <c r="G259" i="55" s="1"/>
  <c r="J259" i="55" s="1"/>
  <c r="P259" i="55" s="1"/>
  <c r="G209" i="9"/>
  <c r="H209" i="9" s="1"/>
  <c r="I209" i="9" s="1"/>
  <c r="G209" i="55" s="1"/>
  <c r="J209" i="55" s="1"/>
  <c r="P209" i="55" s="1"/>
  <c r="G238" i="9"/>
  <c r="H238" i="9" s="1"/>
  <c r="I238" i="9" s="1"/>
  <c r="G238" i="55" s="1"/>
  <c r="J238" i="55" s="1"/>
  <c r="P238" i="55" s="1"/>
  <c r="G13" i="9"/>
  <c r="H13" i="9" s="1"/>
  <c r="I13" i="9" s="1"/>
  <c r="G13" i="55" s="1"/>
  <c r="J13" i="55" s="1"/>
  <c r="P13" i="55" s="1"/>
  <c r="G171" i="9"/>
  <c r="H171" i="9" s="1"/>
  <c r="I171" i="9" s="1"/>
  <c r="G171" i="55" s="1"/>
  <c r="J171" i="55" s="1"/>
  <c r="P171" i="55" s="1"/>
  <c r="G74" i="9"/>
  <c r="H74" i="9" s="1"/>
  <c r="I74" i="9" s="1"/>
  <c r="G74" i="55" s="1"/>
  <c r="J74" i="55" s="1"/>
  <c r="P74" i="55" s="1"/>
  <c r="G218" i="9"/>
  <c r="H218" i="9" s="1"/>
  <c r="I218" i="9" s="1"/>
  <c r="G218" i="55" s="1"/>
  <c r="J218" i="55" s="1"/>
  <c r="P218" i="55" s="1"/>
  <c r="G9" i="9"/>
  <c r="H9" i="9" s="1"/>
  <c r="I9" i="9" s="1"/>
  <c r="G9" i="55" s="1"/>
  <c r="J9" i="55" s="1"/>
  <c r="P9" i="55" s="1"/>
  <c r="G14" i="9"/>
  <c r="H14" i="9" s="1"/>
  <c r="I14" i="9" s="1"/>
  <c r="G14" i="55" s="1"/>
  <c r="J14" i="55" s="1"/>
  <c r="P14" i="55" s="1"/>
  <c r="G156" i="9"/>
  <c r="H156" i="9" s="1"/>
  <c r="I156" i="9" s="1"/>
  <c r="G156" i="55" s="1"/>
  <c r="J156" i="55" s="1"/>
  <c r="P156" i="55" s="1"/>
  <c r="G90" i="9"/>
  <c r="H90" i="9" s="1"/>
  <c r="I90" i="9" s="1"/>
  <c r="G90" i="55" s="1"/>
  <c r="J90" i="55" s="1"/>
  <c r="P90" i="55" s="1"/>
  <c r="G304" i="9"/>
  <c r="H304" i="9" s="1"/>
  <c r="I304" i="9" s="1"/>
  <c r="G304" i="55" s="1"/>
  <c r="J304" i="55" s="1"/>
  <c r="P304" i="55" s="1"/>
  <c r="G192" i="9"/>
  <c r="H192" i="9" s="1"/>
  <c r="I192" i="9" s="1"/>
  <c r="G192" i="55" s="1"/>
  <c r="J192" i="55" s="1"/>
  <c r="P192" i="55" s="1"/>
  <c r="G175" i="9"/>
  <c r="H175" i="9" s="1"/>
  <c r="I175" i="9" s="1"/>
  <c r="G175" i="55" s="1"/>
  <c r="J175" i="55" s="1"/>
  <c r="P175" i="55" s="1"/>
  <c r="G189" i="9"/>
  <c r="H189" i="9" s="1"/>
  <c r="I189" i="9" s="1"/>
  <c r="G189" i="55" s="1"/>
  <c r="J189" i="55" s="1"/>
  <c r="P189" i="55" s="1"/>
  <c r="G20" i="9"/>
  <c r="H20" i="9" s="1"/>
  <c r="I20" i="9" s="1"/>
  <c r="G20" i="55" s="1"/>
  <c r="J20" i="55" s="1"/>
  <c r="P20" i="55" s="1"/>
  <c r="G264" i="9"/>
  <c r="H264" i="9" s="1"/>
  <c r="I264" i="9" s="1"/>
  <c r="G264" i="55" s="1"/>
  <c r="J264" i="55" s="1"/>
  <c r="P264" i="55" s="1"/>
  <c r="G34" i="9"/>
  <c r="H34" i="9" s="1"/>
  <c r="I34" i="9" s="1"/>
  <c r="G34" i="55" s="1"/>
  <c r="J34" i="55" s="1"/>
  <c r="P34" i="55" s="1"/>
  <c r="G185" i="9"/>
  <c r="H185" i="9" s="1"/>
  <c r="I185" i="9" s="1"/>
  <c r="G185" i="55" s="1"/>
  <c r="J185" i="55" s="1"/>
  <c r="P185" i="55" s="1"/>
  <c r="G190" i="9"/>
  <c r="H190" i="9" s="1"/>
  <c r="I190" i="9" s="1"/>
  <c r="G190" i="55" s="1"/>
  <c r="J190" i="55" s="1"/>
  <c r="P190" i="55" s="1"/>
  <c r="G246" i="9"/>
  <c r="H246" i="9" s="1"/>
  <c r="I246" i="9" s="1"/>
  <c r="G246" i="55" s="1"/>
  <c r="J246" i="55" s="1"/>
  <c r="P246" i="55" s="1"/>
  <c r="G147" i="9"/>
  <c r="H147" i="9" s="1"/>
  <c r="I147" i="9" s="1"/>
  <c r="G147" i="55" s="1"/>
  <c r="J147" i="55" s="1"/>
  <c r="P147" i="55" s="1"/>
  <c r="G252" i="9"/>
  <c r="H252" i="9" s="1"/>
  <c r="I252" i="9" s="1"/>
  <c r="G252" i="55" s="1"/>
  <c r="J252" i="55" s="1"/>
  <c r="P252" i="55" s="1"/>
  <c r="G122" i="9"/>
  <c r="H122" i="9" s="1"/>
  <c r="I122" i="9" s="1"/>
  <c r="G122" i="55" s="1"/>
  <c r="J122" i="55" s="1"/>
  <c r="P122" i="55" s="1"/>
  <c r="G287" i="9"/>
  <c r="H287" i="9" s="1"/>
  <c r="I287" i="9" s="1"/>
  <c r="G287" i="55" s="1"/>
  <c r="J287" i="55" s="1"/>
  <c r="P287" i="55" s="1"/>
  <c r="G222" i="9"/>
  <c r="H222" i="9" s="1"/>
  <c r="I222" i="9" s="1"/>
  <c r="G222" i="55" s="1"/>
  <c r="J222" i="55" s="1"/>
  <c r="P222" i="55" s="1"/>
  <c r="G132" i="9"/>
  <c r="H132" i="9" s="1"/>
  <c r="I132" i="9" s="1"/>
  <c r="G132" i="55" s="1"/>
  <c r="J132" i="55" s="1"/>
  <c r="P132" i="55" s="1"/>
  <c r="G187" i="9"/>
  <c r="H187" i="9" s="1"/>
  <c r="I187" i="9" s="1"/>
  <c r="G187" i="55" s="1"/>
  <c r="J187" i="55" s="1"/>
  <c r="P187" i="55" s="1"/>
  <c r="G89" i="9"/>
  <c r="H89" i="9" s="1"/>
  <c r="I89" i="9" s="1"/>
  <c r="G89" i="55" s="1"/>
  <c r="J89" i="55" s="1"/>
  <c r="P89" i="55" s="1"/>
  <c r="G236" i="9"/>
  <c r="H236" i="9" s="1"/>
  <c r="I236" i="9" s="1"/>
  <c r="G236" i="55" s="1"/>
  <c r="J236" i="55" s="1"/>
  <c r="P236" i="55" s="1"/>
  <c r="G64" i="9"/>
  <c r="H64" i="9" s="1"/>
  <c r="I64" i="9" s="1"/>
  <c r="G64" i="55" s="1"/>
  <c r="J64" i="55" s="1"/>
  <c r="P64" i="55" s="1"/>
  <c r="G150" i="9"/>
  <c r="H150" i="9" s="1"/>
  <c r="I150" i="9" s="1"/>
  <c r="G150" i="55" s="1"/>
  <c r="J150" i="55" s="1"/>
  <c r="P150" i="55" s="1"/>
  <c r="G107" i="9"/>
  <c r="H107" i="9" s="1"/>
  <c r="I107" i="9" s="1"/>
  <c r="G107" i="55" s="1"/>
  <c r="J107" i="55" s="1"/>
  <c r="P107" i="55" s="1"/>
  <c r="G247" i="9"/>
  <c r="H247" i="9" s="1"/>
  <c r="I247" i="9" s="1"/>
  <c r="G247" i="55" s="1"/>
  <c r="J247" i="55" s="1"/>
  <c r="P247" i="55" s="1"/>
  <c r="G23" i="9"/>
  <c r="H23" i="9" s="1"/>
  <c r="I23" i="9" s="1"/>
  <c r="G23" i="55" s="1"/>
  <c r="J23" i="55" s="1"/>
  <c r="P23" i="55" s="1"/>
  <c r="G125" i="9"/>
  <c r="H125" i="9" s="1"/>
  <c r="I125" i="9" s="1"/>
  <c r="G125" i="55" s="1"/>
  <c r="J125" i="55" s="1"/>
  <c r="P125" i="55" s="1"/>
  <c r="G121" i="9"/>
  <c r="H121" i="9" s="1"/>
  <c r="I121" i="9" s="1"/>
  <c r="G121" i="55" s="1"/>
  <c r="J121" i="55" s="1"/>
  <c r="P121" i="55" s="1"/>
  <c r="G83" i="9"/>
  <c r="H83" i="9" s="1"/>
  <c r="I83" i="9" s="1"/>
  <c r="G83" i="55" s="1"/>
  <c r="J83" i="55" s="1"/>
  <c r="P83" i="55" s="1"/>
  <c r="G68" i="9"/>
  <c r="H68" i="9" s="1"/>
  <c r="I68" i="9" s="1"/>
  <c r="G68" i="55" s="1"/>
  <c r="J68" i="55" s="1"/>
  <c r="P68" i="55" s="1"/>
  <c r="G8" i="9"/>
  <c r="G25" i="9"/>
  <c r="H25" i="9" s="1"/>
  <c r="I25" i="9" s="1"/>
  <c r="G25" i="55" s="1"/>
  <c r="J25" i="55" s="1"/>
  <c r="P25" i="55" s="1"/>
  <c r="G290" i="9"/>
  <c r="H290" i="9" s="1"/>
  <c r="I290" i="9" s="1"/>
  <c r="G290" i="55" s="1"/>
  <c r="J290" i="55" s="1"/>
  <c r="P290" i="55" s="1"/>
  <c r="G32" i="9"/>
  <c r="H32" i="9" s="1"/>
  <c r="I32" i="9" s="1"/>
  <c r="G32" i="55" s="1"/>
  <c r="J32" i="55" s="1"/>
  <c r="P32" i="55" s="1"/>
  <c r="G28" i="9"/>
  <c r="H28" i="9" s="1"/>
  <c r="I28" i="9" s="1"/>
  <c r="G28" i="55" s="1"/>
  <c r="J28" i="55" s="1"/>
  <c r="P28" i="55" s="1"/>
  <c r="G219" i="9"/>
  <c r="H219" i="9" s="1"/>
  <c r="I219" i="9" s="1"/>
  <c r="G219" i="55" s="1"/>
  <c r="J219" i="55" s="1"/>
  <c r="P219" i="55" s="1"/>
  <c r="G204" i="9"/>
  <c r="H204" i="9" s="1"/>
  <c r="I204" i="9" s="1"/>
  <c r="G204" i="55" s="1"/>
  <c r="J204" i="55" s="1"/>
  <c r="P204" i="55" s="1"/>
  <c r="G294" i="9"/>
  <c r="H294" i="9" s="1"/>
  <c r="I294" i="9" s="1"/>
  <c r="G294" i="55" s="1"/>
  <c r="J294" i="55" s="1"/>
  <c r="P294" i="55" s="1"/>
  <c r="I253" i="9" l="1"/>
  <c r="J36" i="45"/>
  <c r="P118" i="55"/>
  <c r="H8" i="9"/>
  <c r="I8" i="9" s="1"/>
  <c r="G308" i="9"/>
  <c r="E11" i="57"/>
  <c r="H11" i="57" s="1"/>
  <c r="J166" i="55"/>
  <c r="G8" i="55" l="1"/>
  <c r="J8" i="55" s="1"/>
  <c r="I308" i="9"/>
  <c r="I2" i="9"/>
  <c r="P166" i="55"/>
  <c r="E10" i="57"/>
  <c r="H10" i="57" s="1"/>
  <c r="N10" i="45"/>
  <c r="G253" i="55"/>
  <c r="H308" i="9"/>
  <c r="E22" i="57" l="1"/>
  <c r="K13" i="50"/>
  <c r="K14" i="50" s="1"/>
  <c r="K6" i="50" s="1"/>
  <c r="C3" i="9"/>
  <c r="P8" i="55"/>
  <c r="G308" i="55"/>
  <c r="J253" i="55"/>
  <c r="P253" i="55" s="1"/>
  <c r="K5" i="50" l="1"/>
  <c r="K17" i="50"/>
  <c r="I309" i="9"/>
  <c r="J308" i="55"/>
  <c r="P308" i="55"/>
  <c r="N309" i="9"/>
  <c r="H22" i="57"/>
  <c r="D4" i="4" l="1"/>
  <c r="D217" i="4" s="1"/>
  <c r="T217" i="55" s="1"/>
  <c r="V217" i="55" s="1"/>
  <c r="D172" i="4" l="1"/>
  <c r="T172" i="55" s="1"/>
  <c r="V172" i="55" s="1"/>
  <c r="D269" i="4"/>
  <c r="T269" i="55" s="1"/>
  <c r="V269" i="55" s="1"/>
  <c r="D8" i="4"/>
  <c r="D291" i="4"/>
  <c r="T291" i="55" s="1"/>
  <c r="V291" i="55" s="1"/>
  <c r="D135" i="4"/>
  <c r="T135" i="55" s="1"/>
  <c r="V135" i="55" s="1"/>
  <c r="D241" i="4"/>
  <c r="T241" i="55" s="1"/>
  <c r="V241" i="55" s="1"/>
  <c r="D45" i="4"/>
  <c r="T45" i="55" s="1"/>
  <c r="V45" i="55" s="1"/>
  <c r="D57" i="4"/>
  <c r="T57" i="55" s="1"/>
  <c r="V57" i="55" s="1"/>
  <c r="D247" i="4"/>
  <c r="T247" i="55" s="1"/>
  <c r="V247" i="55" s="1"/>
  <c r="D175" i="4"/>
  <c r="T175" i="55" s="1"/>
  <c r="V175" i="55" s="1"/>
  <c r="D220" i="4"/>
  <c r="T220" i="55" s="1"/>
  <c r="V220" i="55" s="1"/>
  <c r="D248" i="4"/>
  <c r="T248" i="55" s="1"/>
  <c r="V248" i="55" s="1"/>
  <c r="D31" i="4"/>
  <c r="T31" i="55" s="1"/>
  <c r="V31" i="55" s="1"/>
  <c r="D230" i="4"/>
  <c r="T230" i="55" s="1"/>
  <c r="V230" i="55" s="1"/>
  <c r="D138" i="4"/>
  <c r="T138" i="55" s="1"/>
  <c r="V138" i="55" s="1"/>
  <c r="D20" i="4"/>
  <c r="T20" i="55" s="1"/>
  <c r="V20" i="55" s="1"/>
  <c r="D253" i="4"/>
  <c r="T253" i="55" s="1"/>
  <c r="V253" i="55" s="1"/>
  <c r="D60" i="4"/>
  <c r="T60" i="55" s="1"/>
  <c r="V60" i="55" s="1"/>
  <c r="D35" i="4"/>
  <c r="T35" i="55" s="1"/>
  <c r="V35" i="55" s="1"/>
  <c r="D15" i="4"/>
  <c r="T15" i="55" s="1"/>
  <c r="V15" i="55" s="1"/>
  <c r="D197" i="4"/>
  <c r="T197" i="55" s="1"/>
  <c r="V197" i="55" s="1"/>
  <c r="D39" i="4"/>
  <c r="T39" i="55" s="1"/>
  <c r="V39" i="55" s="1"/>
  <c r="D92" i="4"/>
  <c r="T92" i="55" s="1"/>
  <c r="V92" i="55" s="1"/>
  <c r="D101" i="4"/>
  <c r="T101" i="55" s="1"/>
  <c r="V101" i="55" s="1"/>
  <c r="D127" i="4"/>
  <c r="T127" i="55" s="1"/>
  <c r="V127" i="55" s="1"/>
  <c r="D146" i="4"/>
  <c r="T146" i="55" s="1"/>
  <c r="V146" i="55" s="1"/>
  <c r="D170" i="4"/>
  <c r="T170" i="55" s="1"/>
  <c r="V170" i="55" s="1"/>
  <c r="D29" i="4"/>
  <c r="T29" i="55" s="1"/>
  <c r="V29" i="55" s="1"/>
  <c r="D153" i="4"/>
  <c r="T153" i="55" s="1"/>
  <c r="V153" i="55" s="1"/>
  <c r="D90" i="4"/>
  <c r="T90" i="55" s="1"/>
  <c r="V90" i="55" s="1"/>
  <c r="D162" i="4"/>
  <c r="T162" i="55" s="1"/>
  <c r="V162" i="55" s="1"/>
  <c r="D259" i="4"/>
  <c r="T259" i="55" s="1"/>
  <c r="V259" i="55" s="1"/>
  <c r="D32" i="4"/>
  <c r="T32" i="55" s="1"/>
  <c r="V32" i="55" s="1"/>
  <c r="D48" i="4"/>
  <c r="T48" i="55" s="1"/>
  <c r="V48" i="55" s="1"/>
  <c r="D66" i="4"/>
  <c r="T66" i="55" s="1"/>
  <c r="V66" i="55" s="1"/>
  <c r="D274" i="4"/>
  <c r="T274" i="55" s="1"/>
  <c r="V274" i="55" s="1"/>
  <c r="D159" i="4"/>
  <c r="T159" i="55" s="1"/>
  <c r="V159" i="55" s="1"/>
  <c r="D198" i="4"/>
  <c r="T198" i="55" s="1"/>
  <c r="V198" i="55" s="1"/>
  <c r="D105" i="4"/>
  <c r="T105" i="55" s="1"/>
  <c r="V105" i="55" s="1"/>
  <c r="D158" i="4"/>
  <c r="T158" i="55" s="1"/>
  <c r="V158" i="55" s="1"/>
  <c r="D244" i="4"/>
  <c r="T244" i="55" s="1"/>
  <c r="V244" i="55" s="1"/>
  <c r="D257" i="4"/>
  <c r="T257" i="55" s="1"/>
  <c r="V257" i="55" s="1"/>
  <c r="D219" i="4"/>
  <c r="T219" i="55" s="1"/>
  <c r="V219" i="55" s="1"/>
  <c r="D30" i="4"/>
  <c r="T30" i="55" s="1"/>
  <c r="V30" i="55" s="1"/>
  <c r="D243" i="4"/>
  <c r="T243" i="55" s="1"/>
  <c r="V243" i="55" s="1"/>
  <c r="D21" i="4"/>
  <c r="T21" i="55" s="1"/>
  <c r="V21" i="55" s="1"/>
  <c r="D65" i="4"/>
  <c r="T65" i="55" s="1"/>
  <c r="V65" i="55" s="1"/>
  <c r="D249" i="4"/>
  <c r="T249" i="55" s="1"/>
  <c r="V249" i="55" s="1"/>
  <c r="D81" i="4"/>
  <c r="T81" i="55" s="1"/>
  <c r="V81" i="55" s="1"/>
  <c r="D142" i="4"/>
  <c r="T142" i="55" s="1"/>
  <c r="V142" i="55" s="1"/>
  <c r="D144" i="4"/>
  <c r="T144" i="55" s="1"/>
  <c r="V144" i="55" s="1"/>
  <c r="D155" i="4"/>
  <c r="T155" i="55" s="1"/>
  <c r="V155" i="55" s="1"/>
  <c r="D167" i="4"/>
  <c r="T167" i="55" s="1"/>
  <c r="V167" i="55" s="1"/>
  <c r="D305" i="4"/>
  <c r="T305" i="55" s="1"/>
  <c r="V305" i="55" s="1"/>
  <c r="D174" i="4"/>
  <c r="T174" i="55" s="1"/>
  <c r="V174" i="55" s="1"/>
  <c r="D231" i="4"/>
  <c r="T231" i="55" s="1"/>
  <c r="V231" i="55" s="1"/>
  <c r="D199" i="4"/>
  <c r="T199" i="55" s="1"/>
  <c r="V199" i="55" s="1"/>
  <c r="D306" i="4"/>
  <c r="T306" i="55" s="1"/>
  <c r="V306" i="55" s="1"/>
  <c r="D99" i="4"/>
  <c r="T99" i="55" s="1"/>
  <c r="V99" i="55" s="1"/>
  <c r="D27" i="4"/>
  <c r="T27" i="55" s="1"/>
  <c r="V27" i="55" s="1"/>
  <c r="D115" i="4"/>
  <c r="T115" i="55" s="1"/>
  <c r="V115" i="55" s="1"/>
  <c r="D62" i="4"/>
  <c r="T62" i="55" s="1"/>
  <c r="V62" i="55" s="1"/>
  <c r="D215" i="4"/>
  <c r="T215" i="55" s="1"/>
  <c r="V215" i="55" s="1"/>
  <c r="D61" i="4"/>
  <c r="T61" i="55" s="1"/>
  <c r="V61" i="55" s="1"/>
  <c r="D91" i="4"/>
  <c r="T91" i="55" s="1"/>
  <c r="V91" i="55" s="1"/>
  <c r="D154" i="4"/>
  <c r="T154" i="55" s="1"/>
  <c r="V154" i="55" s="1"/>
  <c r="D145" i="4"/>
  <c r="T145" i="55" s="1"/>
  <c r="V145" i="55" s="1"/>
  <c r="D262" i="4"/>
  <c r="T262" i="55" s="1"/>
  <c r="V262" i="55" s="1"/>
  <c r="D245" i="4"/>
  <c r="T245" i="55" s="1"/>
  <c r="V245" i="55" s="1"/>
  <c r="D166" i="4"/>
  <c r="T166" i="55" s="1"/>
  <c r="V166" i="55" s="1"/>
  <c r="D299" i="4"/>
  <c r="T299" i="55" s="1"/>
  <c r="V299" i="55" s="1"/>
  <c r="D236" i="4"/>
  <c r="T236" i="55" s="1"/>
  <c r="V236" i="55" s="1"/>
  <c r="D109" i="4"/>
  <c r="T109" i="55" s="1"/>
  <c r="V109" i="55" s="1"/>
  <c r="D37" i="4"/>
  <c r="T37" i="55" s="1"/>
  <c r="V37" i="55" s="1"/>
  <c r="D150" i="4"/>
  <c r="T150" i="55" s="1"/>
  <c r="V150" i="55" s="1"/>
  <c r="D131" i="4"/>
  <c r="T131" i="55" s="1"/>
  <c r="V131" i="55" s="1"/>
  <c r="D164" i="4"/>
  <c r="T164" i="55" s="1"/>
  <c r="V164" i="55" s="1"/>
  <c r="D288" i="4"/>
  <c r="T288" i="55" s="1"/>
  <c r="V288" i="55" s="1"/>
  <c r="D63" i="4"/>
  <c r="T63" i="55" s="1"/>
  <c r="V63" i="55" s="1"/>
  <c r="D186" i="4"/>
  <c r="T186" i="55" s="1"/>
  <c r="V186" i="55" s="1"/>
  <c r="D124" i="4"/>
  <c r="T124" i="55" s="1"/>
  <c r="V124" i="55" s="1"/>
  <c r="D98" i="4"/>
  <c r="T98" i="55" s="1"/>
  <c r="V98" i="55" s="1"/>
  <c r="D279" i="4"/>
  <c r="T279" i="55" s="1"/>
  <c r="V279" i="55" s="1"/>
  <c r="D209" i="4"/>
  <c r="T209" i="55" s="1"/>
  <c r="V209" i="55" s="1"/>
  <c r="D290" i="4"/>
  <c r="T290" i="55" s="1"/>
  <c r="V290" i="55" s="1"/>
  <c r="D271" i="4"/>
  <c r="T271" i="55" s="1"/>
  <c r="V271" i="55" s="1"/>
  <c r="D53" i="4"/>
  <c r="T53" i="55" s="1"/>
  <c r="V53" i="55" s="1"/>
  <c r="D26" i="4"/>
  <c r="T26" i="55" s="1"/>
  <c r="V26" i="55" s="1"/>
  <c r="D129" i="4"/>
  <c r="T129" i="55" s="1"/>
  <c r="V129" i="55" s="1"/>
  <c r="D179" i="4"/>
  <c r="T179" i="55" s="1"/>
  <c r="V179" i="55" s="1"/>
  <c r="D285" i="4"/>
  <c r="T285" i="55" s="1"/>
  <c r="V285" i="55" s="1"/>
  <c r="D79" i="4"/>
  <c r="T79" i="55" s="1"/>
  <c r="V79" i="55" s="1"/>
  <c r="D295" i="4"/>
  <c r="T295" i="55" s="1"/>
  <c r="V295" i="55" s="1"/>
  <c r="D83" i="4"/>
  <c r="T83" i="55" s="1"/>
  <c r="V83" i="55" s="1"/>
  <c r="D251" i="4"/>
  <c r="T251" i="55" s="1"/>
  <c r="V251" i="55" s="1"/>
  <c r="D58" i="4"/>
  <c r="T58" i="55" s="1"/>
  <c r="V58" i="55" s="1"/>
  <c r="D300" i="4"/>
  <c r="T300" i="55" s="1"/>
  <c r="V300" i="55" s="1"/>
  <c r="D84" i="4"/>
  <c r="T84" i="55" s="1"/>
  <c r="V84" i="55" s="1"/>
  <c r="D178" i="4"/>
  <c r="T178" i="55" s="1"/>
  <c r="V178" i="55" s="1"/>
  <c r="D187" i="4"/>
  <c r="T187" i="55" s="1"/>
  <c r="V187" i="55" s="1"/>
  <c r="D256" i="4"/>
  <c r="T256" i="55" s="1"/>
  <c r="V256" i="55" s="1"/>
  <c r="D104" i="4"/>
  <c r="T104" i="55" s="1"/>
  <c r="V104" i="55" s="1"/>
  <c r="D282" i="4"/>
  <c r="T282" i="55" s="1"/>
  <c r="V282" i="55" s="1"/>
  <c r="D281" i="4"/>
  <c r="T281" i="55" s="1"/>
  <c r="V281" i="55" s="1"/>
  <c r="D125" i="4"/>
  <c r="T125" i="55" s="1"/>
  <c r="V125" i="55" s="1"/>
  <c r="D261" i="4"/>
  <c r="T261" i="55" s="1"/>
  <c r="V261" i="55" s="1"/>
  <c r="D240" i="4"/>
  <c r="T240" i="55" s="1"/>
  <c r="V240" i="55" s="1"/>
  <c r="D294" i="4"/>
  <c r="T294" i="55" s="1"/>
  <c r="V294" i="55" s="1"/>
  <c r="D267" i="4"/>
  <c r="T267" i="55" s="1"/>
  <c r="V267" i="55" s="1"/>
  <c r="D283" i="4"/>
  <c r="T283" i="55" s="1"/>
  <c r="V283" i="55" s="1"/>
  <c r="D136" i="4"/>
  <c r="T136" i="55" s="1"/>
  <c r="V136" i="55" s="1"/>
  <c r="D118" i="4"/>
  <c r="T118" i="55" s="1"/>
  <c r="V118" i="55" s="1"/>
  <c r="D54" i="4"/>
  <c r="T54" i="55" s="1"/>
  <c r="V54" i="55" s="1"/>
  <c r="D183" i="4"/>
  <c r="T183" i="55" s="1"/>
  <c r="V183" i="55" s="1"/>
  <c r="D43" i="4"/>
  <c r="T43" i="55" s="1"/>
  <c r="V43" i="55" s="1"/>
  <c r="D223" i="4"/>
  <c r="T223" i="55" s="1"/>
  <c r="V223" i="55" s="1"/>
  <c r="D211" i="4"/>
  <c r="T211" i="55" s="1"/>
  <c r="V211" i="55" s="1"/>
  <c r="D71" i="4"/>
  <c r="T71" i="55" s="1"/>
  <c r="V71" i="55" s="1"/>
  <c r="D52" i="4"/>
  <c r="T52" i="55" s="1"/>
  <c r="V52" i="55" s="1"/>
  <c r="D116" i="4"/>
  <c r="T116" i="55" s="1"/>
  <c r="V116" i="55" s="1"/>
  <c r="D85" i="4"/>
  <c r="T85" i="55" s="1"/>
  <c r="V85" i="55" s="1"/>
  <c r="D107" i="4"/>
  <c r="T107" i="55" s="1"/>
  <c r="V107" i="55" s="1"/>
  <c r="D190" i="4"/>
  <c r="T190" i="55" s="1"/>
  <c r="V190" i="55" s="1"/>
  <c r="D152" i="4"/>
  <c r="T152" i="55" s="1"/>
  <c r="V152" i="55" s="1"/>
  <c r="D214" i="4"/>
  <c r="T214" i="55" s="1"/>
  <c r="V214" i="55" s="1"/>
  <c r="D289" i="4"/>
  <c r="T289" i="55" s="1"/>
  <c r="V289" i="55" s="1"/>
  <c r="D258" i="4"/>
  <c r="T258" i="55" s="1"/>
  <c r="V258" i="55" s="1"/>
  <c r="D277" i="4"/>
  <c r="T277" i="55" s="1"/>
  <c r="V277" i="55" s="1"/>
  <c r="D232" i="4"/>
  <c r="T232" i="55" s="1"/>
  <c r="V232" i="55" s="1"/>
  <c r="D55" i="4"/>
  <c r="T55" i="55" s="1"/>
  <c r="V55" i="55" s="1"/>
  <c r="D128" i="4"/>
  <c r="T128" i="55" s="1"/>
  <c r="V128" i="55" s="1"/>
  <c r="D100" i="4"/>
  <c r="T100" i="55" s="1"/>
  <c r="V100" i="55" s="1"/>
  <c r="D87" i="4"/>
  <c r="T87" i="55" s="1"/>
  <c r="V87" i="55" s="1"/>
  <c r="D192" i="4"/>
  <c r="T192" i="55" s="1"/>
  <c r="V192" i="55" s="1"/>
  <c r="D250" i="4"/>
  <c r="T250" i="55" s="1"/>
  <c r="V250" i="55" s="1"/>
  <c r="D272" i="4"/>
  <c r="T272" i="55" s="1"/>
  <c r="V272" i="55" s="1"/>
  <c r="D264" i="4"/>
  <c r="T264" i="55" s="1"/>
  <c r="V264" i="55" s="1"/>
  <c r="D50" i="4"/>
  <c r="T50" i="55" s="1"/>
  <c r="V50" i="55" s="1"/>
  <c r="D82" i="4"/>
  <c r="T82" i="55" s="1"/>
  <c r="V82" i="55" s="1"/>
  <c r="D95" i="4"/>
  <c r="T95" i="55" s="1"/>
  <c r="V95" i="55" s="1"/>
  <c r="D119" i="4"/>
  <c r="T119" i="55" s="1"/>
  <c r="V119" i="55" s="1"/>
  <c r="D194" i="4"/>
  <c r="T194" i="55" s="1"/>
  <c r="V194" i="55" s="1"/>
  <c r="D287" i="4"/>
  <c r="T287" i="55" s="1"/>
  <c r="V287" i="55" s="1"/>
  <c r="D151" i="4"/>
  <c r="T151" i="55" s="1"/>
  <c r="V151" i="55" s="1"/>
  <c r="D24" i="4"/>
  <c r="T24" i="55" s="1"/>
  <c r="V24" i="55" s="1"/>
  <c r="D33" i="4"/>
  <c r="T33" i="55" s="1"/>
  <c r="V33" i="55" s="1"/>
  <c r="D137" i="4"/>
  <c r="T137" i="55" s="1"/>
  <c r="V137" i="55" s="1"/>
  <c r="D156" i="4"/>
  <c r="T156" i="55" s="1"/>
  <c r="V156" i="55" s="1"/>
  <c r="D233" i="4"/>
  <c r="T233" i="55" s="1"/>
  <c r="V233" i="55" s="1"/>
  <c r="D113" i="4"/>
  <c r="T113" i="55" s="1"/>
  <c r="V113" i="55" s="1"/>
  <c r="D213" i="4"/>
  <c r="T213" i="55" s="1"/>
  <c r="V213" i="55" s="1"/>
  <c r="D165" i="4"/>
  <c r="T165" i="55" s="1"/>
  <c r="V165" i="55" s="1"/>
  <c r="D203" i="4"/>
  <c r="T203" i="55" s="1"/>
  <c r="V203" i="55" s="1"/>
  <c r="D237" i="4"/>
  <c r="T237" i="55" s="1"/>
  <c r="V237" i="55" s="1"/>
  <c r="D46" i="4"/>
  <c r="T46" i="55" s="1"/>
  <c r="V46" i="55" s="1"/>
  <c r="D112" i="4"/>
  <c r="T112" i="55" s="1"/>
  <c r="V112" i="55" s="1"/>
  <c r="D202" i="4"/>
  <c r="T202" i="55" s="1"/>
  <c r="V202" i="55" s="1"/>
  <c r="D307" i="4"/>
  <c r="T307" i="55" s="1"/>
  <c r="V307" i="55" s="1"/>
  <c r="D185" i="4"/>
  <c r="T185" i="55" s="1"/>
  <c r="V185" i="55" s="1"/>
  <c r="D123" i="4"/>
  <c r="T123" i="55" s="1"/>
  <c r="V123" i="55" s="1"/>
  <c r="D94" i="4"/>
  <c r="T94" i="55" s="1"/>
  <c r="V94" i="55" s="1"/>
  <c r="D88" i="4"/>
  <c r="T88" i="55" s="1"/>
  <c r="V88" i="55" s="1"/>
  <c r="D273" i="4"/>
  <c r="T273" i="55" s="1"/>
  <c r="V273" i="55" s="1"/>
  <c r="D23" i="4"/>
  <c r="T23" i="55" s="1"/>
  <c r="V23" i="55" s="1"/>
  <c r="D296" i="4"/>
  <c r="T296" i="55" s="1"/>
  <c r="V296" i="55" s="1"/>
  <c r="D93" i="4"/>
  <c r="T93" i="55" s="1"/>
  <c r="V93" i="55" s="1"/>
  <c r="D42" i="4"/>
  <c r="T42" i="55" s="1"/>
  <c r="V42" i="55" s="1"/>
  <c r="D147" i="4"/>
  <c r="T147" i="55" s="1"/>
  <c r="V147" i="55" s="1"/>
  <c r="D160" i="4"/>
  <c r="T160" i="55" s="1"/>
  <c r="V160" i="55" s="1"/>
  <c r="D25" i="4"/>
  <c r="T25" i="55" s="1"/>
  <c r="V25" i="55" s="1"/>
  <c r="D97" i="4"/>
  <c r="T97" i="55" s="1"/>
  <c r="V97" i="55" s="1"/>
  <c r="D41" i="4"/>
  <c r="T41" i="55" s="1"/>
  <c r="V41" i="55" s="1"/>
  <c r="D122" i="4"/>
  <c r="T122" i="55" s="1"/>
  <c r="V122" i="55" s="1"/>
  <c r="D238" i="4"/>
  <c r="T238" i="55" s="1"/>
  <c r="V238" i="55" s="1"/>
  <c r="D225" i="4"/>
  <c r="T225" i="55" s="1"/>
  <c r="V225" i="55" s="1"/>
  <c r="D222" i="4"/>
  <c r="T222" i="55" s="1"/>
  <c r="V222" i="55" s="1"/>
  <c r="D286" i="4"/>
  <c r="T286" i="55" s="1"/>
  <c r="V286" i="55" s="1"/>
  <c r="D76" i="4"/>
  <c r="T76" i="55" s="1"/>
  <c r="V76" i="55" s="1"/>
  <c r="D10" i="4"/>
  <c r="T10" i="55" s="1"/>
  <c r="V10" i="55" s="1"/>
  <c r="D303" i="4"/>
  <c r="T303" i="55" s="1"/>
  <c r="V303" i="55" s="1"/>
  <c r="D255" i="4"/>
  <c r="T255" i="55" s="1"/>
  <c r="V255" i="55" s="1"/>
  <c r="D108" i="4"/>
  <c r="T108" i="55" s="1"/>
  <c r="V108" i="55" s="1"/>
  <c r="D284" i="4"/>
  <c r="T284" i="55" s="1"/>
  <c r="V284" i="55" s="1"/>
  <c r="D47" i="4"/>
  <c r="T47" i="55" s="1"/>
  <c r="V47" i="55" s="1"/>
  <c r="D59" i="4"/>
  <c r="T59" i="55" s="1"/>
  <c r="V59" i="55" s="1"/>
  <c r="D270" i="4"/>
  <c r="T270" i="55" s="1"/>
  <c r="V270" i="55" s="1"/>
  <c r="D298" i="4"/>
  <c r="T298" i="55" s="1"/>
  <c r="V298" i="55" s="1"/>
  <c r="D106" i="4"/>
  <c r="T106" i="55" s="1"/>
  <c r="V106" i="55" s="1"/>
  <c r="D133" i="4"/>
  <c r="T133" i="55" s="1"/>
  <c r="V133" i="55" s="1"/>
  <c r="D182" i="4"/>
  <c r="T182" i="55" s="1"/>
  <c r="V182" i="55" s="1"/>
  <c r="D11" i="4"/>
  <c r="T11" i="55" s="1"/>
  <c r="V11" i="55" s="1"/>
  <c r="D36" i="4"/>
  <c r="T36" i="55" s="1"/>
  <c r="V36" i="55" s="1"/>
  <c r="D73" i="4"/>
  <c r="T73" i="55" s="1"/>
  <c r="V73" i="55" s="1"/>
  <c r="D263" i="4"/>
  <c r="T263" i="55" s="1"/>
  <c r="V263" i="55" s="1"/>
  <c r="D171" i="4"/>
  <c r="T171" i="55" s="1"/>
  <c r="V171" i="55" s="1"/>
  <c r="D302" i="4"/>
  <c r="T302" i="55" s="1"/>
  <c r="V302" i="55" s="1"/>
  <c r="D126" i="4"/>
  <c r="T126" i="55" s="1"/>
  <c r="V126" i="55" s="1"/>
  <c r="D275" i="4"/>
  <c r="T275" i="55" s="1"/>
  <c r="V275" i="55" s="1"/>
  <c r="D77" i="4"/>
  <c r="T77" i="55" s="1"/>
  <c r="V77" i="55" s="1"/>
  <c r="D18" i="4"/>
  <c r="T18" i="55" s="1"/>
  <c r="V18" i="55" s="1"/>
  <c r="D103" i="4"/>
  <c r="T103" i="55" s="1"/>
  <c r="V103" i="55" s="1"/>
  <c r="D78" i="4"/>
  <c r="T78" i="55" s="1"/>
  <c r="V78" i="55" s="1"/>
  <c r="D168" i="4"/>
  <c r="T168" i="55" s="1"/>
  <c r="V168" i="55" s="1"/>
  <c r="D89" i="4"/>
  <c r="T89" i="55" s="1"/>
  <c r="V89" i="55" s="1"/>
  <c r="D210" i="4"/>
  <c r="T210" i="55" s="1"/>
  <c r="V210" i="55" s="1"/>
  <c r="D161" i="4"/>
  <c r="T161" i="55" s="1"/>
  <c r="V161" i="55" s="1"/>
  <c r="D169" i="4"/>
  <c r="T169" i="55" s="1"/>
  <c r="V169" i="55" s="1"/>
  <c r="D149" i="4"/>
  <c r="T149" i="55" s="1"/>
  <c r="V149" i="55" s="1"/>
  <c r="D143" i="4"/>
  <c r="T143" i="55" s="1"/>
  <c r="V143" i="55" s="1"/>
  <c r="D234" i="4"/>
  <c r="T234" i="55" s="1"/>
  <c r="V234" i="55" s="1"/>
  <c r="D19" i="4"/>
  <c r="T19" i="55" s="1"/>
  <c r="V19" i="55" s="1"/>
  <c r="D163" i="4"/>
  <c r="T163" i="55" s="1"/>
  <c r="V163" i="55" s="1"/>
  <c r="D134" i="4"/>
  <c r="T134" i="55" s="1"/>
  <c r="V134" i="55" s="1"/>
  <c r="D177" i="4"/>
  <c r="T177" i="55" s="1"/>
  <c r="V177" i="55" s="1"/>
  <c r="D224" i="4"/>
  <c r="T224" i="55" s="1"/>
  <c r="V224" i="55" s="1"/>
  <c r="D68" i="4"/>
  <c r="T68" i="55" s="1"/>
  <c r="V68" i="55" s="1"/>
  <c r="D216" i="4"/>
  <c r="T216" i="55" s="1"/>
  <c r="V216" i="55" s="1"/>
  <c r="D173" i="4"/>
  <c r="T173" i="55" s="1"/>
  <c r="V173" i="55" s="1"/>
  <c r="D200" i="4"/>
  <c r="T200" i="55" s="1"/>
  <c r="V200" i="55" s="1"/>
  <c r="D246" i="4"/>
  <c r="T246" i="55" s="1"/>
  <c r="V246" i="55" s="1"/>
  <c r="D265" i="4"/>
  <c r="T265" i="55" s="1"/>
  <c r="V265" i="55" s="1"/>
  <c r="D74" i="4"/>
  <c r="T74" i="55" s="1"/>
  <c r="V74" i="55" s="1"/>
  <c r="D17" i="4"/>
  <c r="T17" i="55" s="1"/>
  <c r="V17" i="55" s="1"/>
  <c r="D206" i="4"/>
  <c r="T206" i="55" s="1"/>
  <c r="V206" i="55" s="1"/>
  <c r="D140" i="4"/>
  <c r="T140" i="55" s="1"/>
  <c r="V140" i="55" s="1"/>
  <c r="D141" i="4"/>
  <c r="T141" i="55" s="1"/>
  <c r="V141" i="55" s="1"/>
  <c r="D193" i="4"/>
  <c r="T193" i="55" s="1"/>
  <c r="V193" i="55" s="1"/>
  <c r="D276" i="4"/>
  <c r="T276" i="55" s="1"/>
  <c r="V276" i="55" s="1"/>
  <c r="D40" i="4"/>
  <c r="T40" i="55" s="1"/>
  <c r="V40" i="55" s="1"/>
  <c r="D34" i="4"/>
  <c r="T34" i="55" s="1"/>
  <c r="V34" i="55" s="1"/>
  <c r="D260" i="4"/>
  <c r="T260" i="55" s="1"/>
  <c r="V260" i="55" s="1"/>
  <c r="D196" i="4"/>
  <c r="T196" i="55" s="1"/>
  <c r="V196" i="55" s="1"/>
  <c r="D38" i="4"/>
  <c r="T38" i="55" s="1"/>
  <c r="V38" i="55" s="1"/>
  <c r="D180" i="4"/>
  <c r="T180" i="55" s="1"/>
  <c r="V180" i="55" s="1"/>
  <c r="D16" i="4"/>
  <c r="T16" i="55" s="1"/>
  <c r="V16" i="55" s="1"/>
  <c r="D218" i="4"/>
  <c r="T218" i="55" s="1"/>
  <c r="V218" i="55" s="1"/>
  <c r="D86" i="4"/>
  <c r="T86" i="55" s="1"/>
  <c r="V86" i="55" s="1"/>
  <c r="D226" i="4"/>
  <c r="T226" i="55" s="1"/>
  <c r="V226" i="55" s="1"/>
  <c r="D69" i="4"/>
  <c r="T69" i="55" s="1"/>
  <c r="V69" i="55" s="1"/>
  <c r="D9" i="4"/>
  <c r="T9" i="55" s="1"/>
  <c r="V9" i="55" s="1"/>
  <c r="D227" i="4"/>
  <c r="T227" i="55" s="1"/>
  <c r="V227" i="55" s="1"/>
  <c r="D301" i="4"/>
  <c r="T301" i="55" s="1"/>
  <c r="V301" i="55" s="1"/>
  <c r="D204" i="4"/>
  <c r="T204" i="55" s="1"/>
  <c r="V204" i="55" s="1"/>
  <c r="D191" i="4"/>
  <c r="T191" i="55" s="1"/>
  <c r="V191" i="55" s="1"/>
  <c r="D266" i="4"/>
  <c r="T266" i="55" s="1"/>
  <c r="V266" i="55" s="1"/>
  <c r="D205" i="4"/>
  <c r="T205" i="55" s="1"/>
  <c r="V205" i="55" s="1"/>
  <c r="D188" i="4"/>
  <c r="T188" i="55" s="1"/>
  <c r="V188" i="55" s="1"/>
  <c r="D221" i="4"/>
  <c r="T221" i="55" s="1"/>
  <c r="V221" i="55" s="1"/>
  <c r="D293" i="4"/>
  <c r="T293" i="55" s="1"/>
  <c r="V293" i="55" s="1"/>
  <c r="D139" i="4"/>
  <c r="T139" i="55" s="1"/>
  <c r="V139" i="55" s="1"/>
  <c r="D212" i="4"/>
  <c r="T212" i="55" s="1"/>
  <c r="V212" i="55" s="1"/>
  <c r="D252" i="4"/>
  <c r="T252" i="55" s="1"/>
  <c r="V252" i="55" s="1"/>
  <c r="D22" i="4"/>
  <c r="T22" i="55" s="1"/>
  <c r="V22" i="55" s="1"/>
  <c r="D121" i="4"/>
  <c r="T121" i="55" s="1"/>
  <c r="V121" i="55" s="1"/>
  <c r="D208" i="4"/>
  <c r="T208" i="55" s="1"/>
  <c r="V208" i="55" s="1"/>
  <c r="D195" i="4"/>
  <c r="T195" i="55" s="1"/>
  <c r="V195" i="55" s="1"/>
  <c r="D110" i="4"/>
  <c r="T110" i="55" s="1"/>
  <c r="V110" i="55" s="1"/>
  <c r="D292" i="4"/>
  <c r="T292" i="55" s="1"/>
  <c r="V292" i="55" s="1"/>
  <c r="D235" i="4"/>
  <c r="T235" i="55" s="1"/>
  <c r="V235" i="55" s="1"/>
  <c r="D228" i="4"/>
  <c r="T228" i="55" s="1"/>
  <c r="V228" i="55" s="1"/>
  <c r="D207" i="4"/>
  <c r="T207" i="55" s="1"/>
  <c r="V207" i="55" s="1"/>
  <c r="D49" i="4"/>
  <c r="T49" i="55" s="1"/>
  <c r="V49" i="55" s="1"/>
  <c r="D242" i="4"/>
  <c r="T242" i="55" s="1"/>
  <c r="V242" i="55" s="1"/>
  <c r="D64" i="4"/>
  <c r="T64" i="55" s="1"/>
  <c r="V64" i="55" s="1"/>
  <c r="D176" i="4"/>
  <c r="T176" i="55" s="1"/>
  <c r="V176" i="55" s="1"/>
  <c r="D12" i="4"/>
  <c r="T12" i="55" s="1"/>
  <c r="V12" i="55" s="1"/>
  <c r="D201" i="4"/>
  <c r="T201" i="55" s="1"/>
  <c r="V201" i="55" s="1"/>
  <c r="D111" i="4"/>
  <c r="T111" i="55" s="1"/>
  <c r="V111" i="55" s="1"/>
  <c r="D130" i="4"/>
  <c r="T130" i="55" s="1"/>
  <c r="V130" i="55" s="1"/>
  <c r="D148" i="4"/>
  <c r="T148" i="55" s="1"/>
  <c r="V148" i="55" s="1"/>
  <c r="D13" i="4"/>
  <c r="T13" i="55" s="1"/>
  <c r="V13" i="55" s="1"/>
  <c r="D102" i="4"/>
  <c r="T102" i="55" s="1"/>
  <c r="V102" i="55" s="1"/>
  <c r="D14" i="4"/>
  <c r="T14" i="55" s="1"/>
  <c r="V14" i="55" s="1"/>
  <c r="D157" i="4"/>
  <c r="T157" i="55" s="1"/>
  <c r="V157" i="55" s="1"/>
  <c r="D44" i="4"/>
  <c r="T44" i="55" s="1"/>
  <c r="V44" i="55" s="1"/>
  <c r="D189" i="4"/>
  <c r="T189" i="55" s="1"/>
  <c r="V189" i="55" s="1"/>
  <c r="D120" i="4"/>
  <c r="T120" i="55" s="1"/>
  <c r="V120" i="55" s="1"/>
  <c r="D280" i="4"/>
  <c r="T280" i="55" s="1"/>
  <c r="V280" i="55" s="1"/>
  <c r="D181" i="4"/>
  <c r="T181" i="55" s="1"/>
  <c r="V181" i="55" s="1"/>
  <c r="D297" i="4"/>
  <c r="T297" i="55" s="1"/>
  <c r="V297" i="55" s="1"/>
  <c r="D72" i="4"/>
  <c r="T72" i="55" s="1"/>
  <c r="V72" i="55" s="1"/>
  <c r="D304" i="4"/>
  <c r="T304" i="55" s="1"/>
  <c r="V304" i="55" s="1"/>
  <c r="D28" i="4"/>
  <c r="T28" i="55" s="1"/>
  <c r="V28" i="55" s="1"/>
  <c r="D229" i="4"/>
  <c r="T229" i="55" s="1"/>
  <c r="V229" i="55" s="1"/>
  <c r="D80" i="4"/>
  <c r="T80" i="55" s="1"/>
  <c r="V80" i="55" s="1"/>
  <c r="D67" i="4"/>
  <c r="T67" i="55" s="1"/>
  <c r="V67" i="55" s="1"/>
  <c r="D278" i="4"/>
  <c r="T278" i="55" s="1"/>
  <c r="V278" i="55" s="1"/>
  <c r="D70" i="4"/>
  <c r="T70" i="55" s="1"/>
  <c r="V70" i="55" s="1"/>
  <c r="D268" i="4"/>
  <c r="T268" i="55" s="1"/>
  <c r="V268" i="55" s="1"/>
  <c r="D254" i="4"/>
  <c r="T254" i="55" s="1"/>
  <c r="V254" i="55" s="1"/>
  <c r="D117" i="4"/>
  <c r="T117" i="55" s="1"/>
  <c r="V117" i="55" s="1"/>
  <c r="D96" i="4"/>
  <c r="T96" i="55" s="1"/>
  <c r="V96" i="55" s="1"/>
  <c r="D132" i="4"/>
  <c r="T132" i="55" s="1"/>
  <c r="V132" i="55" s="1"/>
  <c r="D75" i="4"/>
  <c r="T75" i="55" s="1"/>
  <c r="V75" i="55" s="1"/>
  <c r="G34" i="45"/>
  <c r="G36" i="45" s="1"/>
  <c r="G37" i="45" s="1"/>
  <c r="D114" i="4"/>
  <c r="T114" i="55" s="1"/>
  <c r="D184" i="4"/>
  <c r="T184" i="55" s="1"/>
  <c r="V184" i="55" s="1"/>
  <c r="D51" i="4"/>
  <c r="T51" i="55" s="1"/>
  <c r="V51" i="55" s="1"/>
  <c r="D239" i="4"/>
  <c r="T239" i="55" s="1"/>
  <c r="V239" i="55" s="1"/>
  <c r="D56" i="4"/>
  <c r="T56" i="55" s="1"/>
  <c r="V56" i="55" s="1"/>
  <c r="E24" i="57" l="1"/>
  <c r="V114" i="55"/>
  <c r="T8" i="55"/>
  <c r="D308" i="4"/>
  <c r="V8" i="55" l="1"/>
  <c r="V308" i="55" s="1"/>
  <c r="V6" i="55" s="1"/>
  <c r="T308" i="55"/>
  <c r="E30" i="57"/>
  <c r="H30" i="57" s="1"/>
  <c r="H24" i="5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<sst xmlns="http://schemas.openxmlformats.org/spreadsheetml/2006/main" count="1934" uniqueCount="612">
  <si>
    <t>OFS</t>
  </si>
  <si>
    <t>Communes</t>
  </si>
  <si>
    <t>Péréquation des ressources</t>
  </si>
  <si>
    <t>Impôt sur le revenu</t>
  </si>
  <si>
    <t>Impôt sur la fortune</t>
  </si>
  <si>
    <t>Impôt sur le bénéfice</t>
  </si>
  <si>
    <t>Impôt sur le capital</t>
  </si>
  <si>
    <t>Impôt sur la dépense</t>
  </si>
  <si>
    <t>Impôt à la source</t>
  </si>
  <si>
    <t>Impôt foncier</t>
  </si>
  <si>
    <t>À verser (+) ou à recevoir (-)</t>
  </si>
  <si>
    <t>Dotation minimale</t>
  </si>
  <si>
    <t>Net</t>
  </si>
  <si>
    <t>À recevoir</t>
  </si>
  <si>
    <t>À payer</t>
  </si>
  <si>
    <t>Taux</t>
  </si>
  <si>
    <t>p/hab</t>
  </si>
  <si>
    <t>Impôt foncier standardisé</t>
  </si>
  <si>
    <t>Impôts avec taux standardisé</t>
  </si>
  <si>
    <t>Taux standard impôt foncier</t>
  </si>
  <si>
    <t>Prélèvements conjoncturels</t>
  </si>
  <si>
    <t>Total</t>
  </si>
  <si>
    <t>Bas</t>
  </si>
  <si>
    <t>Haut</t>
  </si>
  <si>
    <t>Police</t>
  </si>
  <si>
    <t>Totaux</t>
  </si>
  <si>
    <t>-</t>
  </si>
  <si>
    <t>Autres</t>
  </si>
  <si>
    <t>Forfait</t>
  </si>
  <si>
    <t>Population</t>
  </si>
  <si>
    <t>Surface productive</t>
  </si>
  <si>
    <t>Solidarité</t>
  </si>
  <si>
    <t>Péréquation des besoins structurels</t>
  </si>
  <si>
    <t>Facture policière</t>
  </si>
  <si>
    <t>Participation à la cohésion sociale (PCS)</t>
  </si>
  <si>
    <t>Imputation forfaitaire</t>
  </si>
  <si>
    <t>Pondération</t>
  </si>
  <si>
    <t>Redistribution par habitant</t>
  </si>
  <si>
    <t>Droits de mutation</t>
  </si>
  <si>
    <t>Successions et donations</t>
  </si>
  <si>
    <t>Gains immobiliers</t>
  </si>
  <si>
    <t>Frontaliers</t>
  </si>
  <si>
    <t>Elèves</t>
  </si>
  <si>
    <t>Elèves pondérés</t>
  </si>
  <si>
    <t>Pertes débiteurs</t>
  </si>
  <si>
    <t>Hectares excédentaires</t>
  </si>
  <si>
    <t>Paramètre (p)</t>
  </si>
  <si>
    <t>Médiane * p</t>
  </si>
  <si>
    <t>Moyenne * p</t>
  </si>
  <si>
    <t>Population à l'interieur du palier</t>
  </si>
  <si>
    <t>Paliers de population</t>
  </si>
  <si>
    <t>Montant</t>
  </si>
  <si>
    <t>Surface de référence</t>
  </si>
  <si>
    <t>Elèves pondérés de référence</t>
  </si>
  <si>
    <t>Impôts récupérés après défalcation</t>
  </si>
  <si>
    <t>Impôt imm. des sociétés</t>
  </si>
  <si>
    <t>Coefficient moyen pondéré</t>
  </si>
  <si>
    <t>Revenu fiscal standardisé</t>
  </si>
  <si>
    <t>Moyenne</t>
  </si>
  <si>
    <t xml:space="preserve">Ecart à la moyenne </t>
  </si>
  <si>
    <t>Population
pondérée</t>
  </si>
  <si>
    <t>Population des
délégatrices</t>
  </si>
  <si>
    <t>Socle sécuritaire commun</t>
  </si>
  <si>
    <t>Part délégatrices selon population</t>
  </si>
  <si>
    <t>Part délégatrices selon population pondérée</t>
  </si>
  <si>
    <t>Revenu fiscal standardisé (RFS)</t>
  </si>
  <si>
    <t>Aigle</t>
  </si>
  <si>
    <t>Morges</t>
  </si>
  <si>
    <t>Nyon</t>
  </si>
  <si>
    <t>Lausanne</t>
  </si>
  <si>
    <t>Le Mont-sur-Lausanne</t>
  </si>
  <si>
    <t>Cette commune a un revenu fiscal standardisé par habitant de CHF</t>
  </si>
  <si>
    <t>Le revenu fiscal standardisé par habitant moyen est de CHF</t>
  </si>
  <si>
    <t>L'écart est de CHF</t>
  </si>
  <si>
    <t>Population :</t>
  </si>
  <si>
    <t>Avant péréquation des ressources, le revenu fiscal standardisé par habitant de cette commune exprimé en pourcent du revenu fiscal standardisé par habitant moyen était de</t>
  </si>
  <si>
    <t>En montant absolu, cela répresente CHF</t>
  </si>
  <si>
    <t>Mutrux</t>
  </si>
  <si>
    <r>
      <t xml:space="preserve">Péréquation des besoins structurels </t>
    </r>
    <r>
      <rPr>
        <i/>
        <sz val="13"/>
        <color theme="1"/>
        <rFont val="Calibri"/>
        <family val="2"/>
        <scheme val="minor"/>
      </rPr>
      <t>(surface productive)</t>
    </r>
  </si>
  <si>
    <t>Cette commune a une surface productive (en hectares) de</t>
  </si>
  <si>
    <r>
      <t xml:space="preserve">Péréquation des besoins structurels </t>
    </r>
    <r>
      <rPr>
        <i/>
        <sz val="13"/>
        <color theme="1"/>
        <rFont val="Calibri"/>
        <family val="2"/>
        <scheme val="minor"/>
      </rPr>
      <t>(élèves pondérés)</t>
    </r>
  </si>
  <si>
    <t>Cette commune compte le nombre suivant d'élèves</t>
  </si>
  <si>
    <t>Nombre</t>
  </si>
  <si>
    <t>Population entre 0 et 1'000</t>
  </si>
  <si>
    <t>Population entre 1'001 et 3'000</t>
  </si>
  <si>
    <t>Population entre 3'001 et 12'000</t>
  </si>
  <si>
    <t>Population entre 12'001 et 15'000</t>
  </si>
  <si>
    <t>Population entre 15'001 et 30'000</t>
  </si>
  <si>
    <t>Population entre 30'001 et 45'000</t>
  </si>
  <si>
    <t>Population au-délà de 45'000</t>
  </si>
  <si>
    <t>Montant p/hab</t>
  </si>
  <si>
    <t>Les montants versés par la couche population sont financés par l'ensemble des communes avec une répartition en francs par habitant. La contribution de cette commune est de CHF</t>
  </si>
  <si>
    <r>
      <t xml:space="preserve">Charges particulières des villes </t>
    </r>
    <r>
      <rPr>
        <i/>
        <sz val="13"/>
        <color theme="1"/>
        <rFont val="Calibri"/>
        <family val="2"/>
        <scheme val="minor"/>
      </rPr>
      <t>(couche population)</t>
    </r>
  </si>
  <si>
    <r>
      <t xml:space="preserve">Charges particulières des villes </t>
    </r>
    <r>
      <rPr>
        <i/>
        <sz val="13"/>
        <color theme="1"/>
        <rFont val="Calibri"/>
        <family val="2"/>
        <scheme val="minor"/>
      </rPr>
      <t>(déficits des lignes de trafic urbain)</t>
    </r>
  </si>
  <si>
    <t>La participation de cette commune au financement des déficits des lignes de trafic urbain, comme définies dans la LMTP, est de CHF</t>
  </si>
  <si>
    <t>Les montants versés par cette compensation sont financés par l'ensemble des communes avec une répartition en francs par habitant. La contribution de cette commune est de CHF</t>
  </si>
  <si>
    <t>En francs par habitant, le montant de la PCS est de CHF</t>
  </si>
  <si>
    <t>Le montant total de la facture policière est de CHF</t>
  </si>
  <si>
    <t>35% de la facture correspond au socle sécuritaire commun. Il est pris en charge par l'ensemble des communes. En francs par habitant, le montant de ce socle commun est de CHF</t>
  </si>
  <si>
    <t>Après les effets du rééquilibrage financier en faveur des communes, le montant total de la PCS à charge des communes est de CHF</t>
  </si>
  <si>
    <t>NB : les montants en vert sont à recevoir et les montants en rouge à verser</t>
  </si>
  <si>
    <t>Château-d'Oex</t>
  </si>
  <si>
    <t>Ursins</t>
  </si>
  <si>
    <t>Yverdon-les-Bains</t>
  </si>
  <si>
    <t>Payerne</t>
  </si>
  <si>
    <t>Bex</t>
  </si>
  <si>
    <t>Chessel</t>
  </si>
  <si>
    <t>Corbeyrier</t>
  </si>
  <si>
    <t>Gryon</t>
  </si>
  <si>
    <t>Lavey-Morcles</t>
  </si>
  <si>
    <t>Leysin</t>
  </si>
  <si>
    <t>Noville</t>
  </si>
  <si>
    <t>Ollon</t>
  </si>
  <si>
    <t>Ormont-Dessous</t>
  </si>
  <si>
    <t>Ormont-Dessus</t>
  </si>
  <si>
    <t>Rennaz</t>
  </si>
  <si>
    <t>Roche</t>
  </si>
  <si>
    <t>Villeneuve</t>
  </si>
  <si>
    <t>Yvorne</t>
  </si>
  <si>
    <t>Aubonne</t>
  </si>
  <si>
    <t>Berolle</t>
  </si>
  <si>
    <t>Bière</t>
  </si>
  <si>
    <t>Bougy-Villars</t>
  </si>
  <si>
    <t>Féchy</t>
  </si>
  <si>
    <t>Gimel</t>
  </si>
  <si>
    <t>Longirod</t>
  </si>
  <si>
    <t>Marchissy</t>
  </si>
  <si>
    <t>Mollens</t>
  </si>
  <si>
    <t>Saint-George</t>
  </si>
  <si>
    <t>Saint-Livres</t>
  </si>
  <si>
    <t>Saint-Oyens</t>
  </si>
  <si>
    <t>Saubraz</t>
  </si>
  <si>
    <t>Avenches</t>
  </si>
  <si>
    <t>Cudrefin</t>
  </si>
  <si>
    <t>Faoug</t>
  </si>
  <si>
    <t>Vully-les-Lacs</t>
  </si>
  <si>
    <t>Bettens</t>
  </si>
  <si>
    <t>Bournens</t>
  </si>
  <si>
    <t>Boussens</t>
  </si>
  <si>
    <t>La Chaux (Cossonay)</t>
  </si>
  <si>
    <t>Chavannes-le-Veyron</t>
  </si>
  <si>
    <t>Chevilly</t>
  </si>
  <si>
    <t>Cossonay</t>
  </si>
  <si>
    <t>Cuarnens</t>
  </si>
  <si>
    <t>Daillens</t>
  </si>
  <si>
    <t>Dizy</t>
  </si>
  <si>
    <t>Eclépens</t>
  </si>
  <si>
    <t>Ferreyres</t>
  </si>
  <si>
    <t>Gollion</t>
  </si>
  <si>
    <t>Grancy</t>
  </si>
  <si>
    <t>L'Isle</t>
  </si>
  <si>
    <t>Lussery-Villars</t>
  </si>
  <si>
    <t>Mauraz</t>
  </si>
  <si>
    <t>Mex</t>
  </si>
  <si>
    <t>Moiry</t>
  </si>
  <si>
    <t>Mont-la-Ville</t>
  </si>
  <si>
    <t>Montricher</t>
  </si>
  <si>
    <t>Orny</t>
  </si>
  <si>
    <t>Penthalaz</t>
  </si>
  <si>
    <t>Penthaz</t>
  </si>
  <si>
    <t>Pompaples</t>
  </si>
  <si>
    <t>La Sarraz</t>
  </si>
  <si>
    <t>Senarclens</t>
  </si>
  <si>
    <t>Sullens</t>
  </si>
  <si>
    <t>Vufflens-la-Ville</t>
  </si>
  <si>
    <t>Assens</t>
  </si>
  <si>
    <t>Bercher</t>
  </si>
  <si>
    <t>Bottens</t>
  </si>
  <si>
    <t>Bretigny-sur-Morrens</t>
  </si>
  <si>
    <t>Cugy</t>
  </si>
  <si>
    <t>Echallens</t>
  </si>
  <si>
    <t>Essertines-sur-Yverdon</t>
  </si>
  <si>
    <t>Etagnières</t>
  </si>
  <si>
    <t>Fey</t>
  </si>
  <si>
    <t>Froideville</t>
  </si>
  <si>
    <t>Morrens</t>
  </si>
  <si>
    <t>Oulens-sous-Echallens</t>
  </si>
  <si>
    <t>Pailly</t>
  </si>
  <si>
    <t>Penthéréaz</t>
  </si>
  <si>
    <t>Poliez-Pittet</t>
  </si>
  <si>
    <t>Rueyres</t>
  </si>
  <si>
    <t>Saint-Barthélemy</t>
  </si>
  <si>
    <t>Villars-le-Terroir</t>
  </si>
  <si>
    <t>Vuarrens</t>
  </si>
  <si>
    <t>Montilliez</t>
  </si>
  <si>
    <t>Goumoëns</t>
  </si>
  <si>
    <t>Bonvillars</t>
  </si>
  <si>
    <t>Bullet</t>
  </si>
  <si>
    <t>Champagne</t>
  </si>
  <si>
    <t>Concise</t>
  </si>
  <si>
    <t>Corcelles-près-Concise</t>
  </si>
  <si>
    <t>Fiez</t>
  </si>
  <si>
    <t>Fontaines-sur-Grandson</t>
  </si>
  <si>
    <t>Giez</t>
  </si>
  <si>
    <t>Grandevent</t>
  </si>
  <si>
    <t>Grandson</t>
  </si>
  <si>
    <t>Mauborget</t>
  </si>
  <si>
    <t>Novalles</t>
  </si>
  <si>
    <t>Onnens</t>
  </si>
  <si>
    <t>Provence</t>
  </si>
  <si>
    <t>Sainte-Croix</t>
  </si>
  <si>
    <t>Tévenon</t>
  </si>
  <si>
    <t>Belmont-sur-Lausanne</t>
  </si>
  <si>
    <t>Cheseaux-sur-Lausanne</t>
  </si>
  <si>
    <t>Crissier</t>
  </si>
  <si>
    <t>Epalinges</t>
  </si>
  <si>
    <t>Jouxtens-Mézery</t>
  </si>
  <si>
    <t>Paudex</t>
  </si>
  <si>
    <t>Prilly</t>
  </si>
  <si>
    <t>Pully</t>
  </si>
  <si>
    <t>Renens</t>
  </si>
  <si>
    <t>Romanel-sur-Lausanne</t>
  </si>
  <si>
    <t>Chexbres</t>
  </si>
  <si>
    <t>Forel (Lavaux)</t>
  </si>
  <si>
    <t>Lutry</t>
  </si>
  <si>
    <t>Puidoux</t>
  </si>
  <si>
    <t>Rivaz</t>
  </si>
  <si>
    <t>St-Saphorin (Lavaux)</t>
  </si>
  <si>
    <t>Savigny</t>
  </si>
  <si>
    <t>Bourg-en-Lavaux</t>
  </si>
  <si>
    <t>Aclens</t>
  </si>
  <si>
    <t>Bremblens</t>
  </si>
  <si>
    <t>Buchillon</t>
  </si>
  <si>
    <t>Bussigny</t>
  </si>
  <si>
    <t>Chavannes-près-Renens</t>
  </si>
  <si>
    <t>Chigny</t>
  </si>
  <si>
    <t>Clarmont</t>
  </si>
  <si>
    <t>Denens</t>
  </si>
  <si>
    <t>Denges</t>
  </si>
  <si>
    <t>Echandens</t>
  </si>
  <si>
    <t>Echichens</t>
  </si>
  <si>
    <t>Ecublens</t>
  </si>
  <si>
    <t>Etoy</t>
  </si>
  <si>
    <t>Lavigny</t>
  </si>
  <si>
    <t>Lonay</t>
  </si>
  <si>
    <t>Lully</t>
  </si>
  <si>
    <t>Lussy-sur-Morges</t>
  </si>
  <si>
    <t>Préverenges</t>
  </si>
  <si>
    <t>Romanel-sur-Morges</t>
  </si>
  <si>
    <t>Saint-Prex</t>
  </si>
  <si>
    <t>Saint-Sulpice</t>
  </si>
  <si>
    <t>Tolochenaz</t>
  </si>
  <si>
    <t>Vaux-sur-Morges</t>
  </si>
  <si>
    <t>Villars-Sainte-Croix</t>
  </si>
  <si>
    <t>Villars-sous-Yens</t>
  </si>
  <si>
    <t>Vufflens-le-Château</t>
  </si>
  <si>
    <t>Vullierens</t>
  </si>
  <si>
    <t>Yens</t>
  </si>
  <si>
    <t>Hautemorges</t>
  </si>
  <si>
    <t>Boulens</t>
  </si>
  <si>
    <t>Bussy-sur-Moudon</t>
  </si>
  <si>
    <t>Chavannes-sur-Moudon</t>
  </si>
  <si>
    <t>Curtilles</t>
  </si>
  <si>
    <t>Dompierre</t>
  </si>
  <si>
    <t>Hermenches</t>
  </si>
  <si>
    <t>Lovatens</t>
  </si>
  <si>
    <t>Lucens</t>
  </si>
  <si>
    <t>Moudon</t>
  </si>
  <si>
    <t>Ogens</t>
  </si>
  <si>
    <t>Prévonloup</t>
  </si>
  <si>
    <t>Rossenges</t>
  </si>
  <si>
    <t>Syens</t>
  </si>
  <si>
    <t>Villars-le-Comte</t>
  </si>
  <si>
    <t>Vucherens</t>
  </si>
  <si>
    <t>Montanaire</t>
  </si>
  <si>
    <t>Arnex-sur-Nyon</t>
  </si>
  <si>
    <t>Arzier-Le Muids</t>
  </si>
  <si>
    <t>Begnins</t>
  </si>
  <si>
    <t>Bogis-Bossey</t>
  </si>
  <si>
    <t>Borex</t>
  </si>
  <si>
    <t>Chavannes-de-Bogis</t>
  </si>
  <si>
    <t>Chavannes-des-Bois</t>
  </si>
  <si>
    <t>Chéserex</t>
  </si>
  <si>
    <t>Coinsins</t>
  </si>
  <si>
    <t>Commugny</t>
  </si>
  <si>
    <t>Coppet</t>
  </si>
  <si>
    <t>Crans</t>
  </si>
  <si>
    <t>Crassier</t>
  </si>
  <si>
    <t>Duillier</t>
  </si>
  <si>
    <t>Eysins</t>
  </si>
  <si>
    <t>Founex</t>
  </si>
  <si>
    <t>Genolier</t>
  </si>
  <si>
    <t>Gingins</t>
  </si>
  <si>
    <t>Givrins</t>
  </si>
  <si>
    <t>Gland</t>
  </si>
  <si>
    <t>Grens</t>
  </si>
  <si>
    <t>Mies</t>
  </si>
  <si>
    <t>Prangins</t>
  </si>
  <si>
    <t>La Rippe</t>
  </si>
  <si>
    <t>Saint-Cergue</t>
  </si>
  <si>
    <t>Signy-Avenex</t>
  </si>
  <si>
    <t>Tannay</t>
  </si>
  <si>
    <t>Trélex</t>
  </si>
  <si>
    <t>Le Vaud</t>
  </si>
  <si>
    <t>Vich</t>
  </si>
  <si>
    <t>L'Abergement</t>
  </si>
  <si>
    <t>Agiez</t>
  </si>
  <si>
    <t>Arnex-sur-Orbe</t>
  </si>
  <si>
    <t>Ballaigues</t>
  </si>
  <si>
    <t>Baulmes</t>
  </si>
  <si>
    <t>Bavois</t>
  </si>
  <si>
    <t>Bofflens</t>
  </si>
  <si>
    <t>Bretonnières</t>
  </si>
  <si>
    <t>Chavornay</t>
  </si>
  <si>
    <t>Les Clées</t>
  </si>
  <si>
    <t>Croy</t>
  </si>
  <si>
    <t>Juriens</t>
  </si>
  <si>
    <t>Lignerolle</t>
  </si>
  <si>
    <t>Montcherand</t>
  </si>
  <si>
    <t>Orbe</t>
  </si>
  <si>
    <t>La Praz</t>
  </si>
  <si>
    <t>Premier</t>
  </si>
  <si>
    <t>Rances</t>
  </si>
  <si>
    <t>Romainmôtier-Envy</t>
  </si>
  <si>
    <t>Sergey</t>
  </si>
  <si>
    <t>Valeyres-sous-Rances</t>
  </si>
  <si>
    <t>Vallorbe</t>
  </si>
  <si>
    <t>Vaulion</t>
  </si>
  <si>
    <t>Vuiteboeuf</t>
  </si>
  <si>
    <t>Corcelles-le-Jorat</t>
  </si>
  <si>
    <t>Maracon</t>
  </si>
  <si>
    <t>Montpreveyres</t>
  </si>
  <si>
    <t>Ropraz</t>
  </si>
  <si>
    <t>Servion</t>
  </si>
  <si>
    <t>Vulliens</t>
  </si>
  <si>
    <t>Jorat-Menthue</t>
  </si>
  <si>
    <t>Oron</t>
  </si>
  <si>
    <t>Jorat-Mézières</t>
  </si>
  <si>
    <t>Champtauroz</t>
  </si>
  <si>
    <t>Chevroux</t>
  </si>
  <si>
    <t>Corcelles-près-Payerne</t>
  </si>
  <si>
    <t>Grandcour</t>
  </si>
  <si>
    <t>Henniez</t>
  </si>
  <si>
    <t>Missy</t>
  </si>
  <si>
    <t>Trey</t>
  </si>
  <si>
    <t>Treytorrens (Payerne)</t>
  </si>
  <si>
    <t>Villarzel</t>
  </si>
  <si>
    <t>Valbroye</t>
  </si>
  <si>
    <t>Rossinière</t>
  </si>
  <si>
    <t>Rougemont</t>
  </si>
  <si>
    <t>Allaman</t>
  </si>
  <si>
    <t>Bursinel</t>
  </si>
  <si>
    <t>Bursins</t>
  </si>
  <si>
    <t>Burtigny</t>
  </si>
  <si>
    <t>Dully</t>
  </si>
  <si>
    <t>Essertines-sur-Rolle</t>
  </si>
  <si>
    <t>Gilly</t>
  </si>
  <si>
    <t>Luins</t>
  </si>
  <si>
    <t>Mont-sur-Rolle</t>
  </si>
  <si>
    <t>Perroy</t>
  </si>
  <si>
    <t>Rolle</t>
  </si>
  <si>
    <t>Tartegnin</t>
  </si>
  <si>
    <t>Vinzel</t>
  </si>
  <si>
    <t>L'Abbaye</t>
  </si>
  <si>
    <t>Le Chenit</t>
  </si>
  <si>
    <t>Le Lieu</t>
  </si>
  <si>
    <t>Chardonne</t>
  </si>
  <si>
    <t>Corseaux</t>
  </si>
  <si>
    <t>Corsier-sur-Vevey</t>
  </si>
  <si>
    <t>Jongny</t>
  </si>
  <si>
    <t>Montreux</t>
  </si>
  <si>
    <t>La Tour-de-Peilz</t>
  </si>
  <si>
    <t>Vevey</t>
  </si>
  <si>
    <t>Veytaux</t>
  </si>
  <si>
    <t>Blonay-Saint-Légier</t>
  </si>
  <si>
    <t>Belmont-sur-Yverdon</t>
  </si>
  <si>
    <t>Bioley-Magnoux</t>
  </si>
  <si>
    <t>Chamblon</t>
  </si>
  <si>
    <t>Champvent</t>
  </si>
  <si>
    <t>Chavannes-le-Chêne</t>
  </si>
  <si>
    <t>Chêne-Pâquier</t>
  </si>
  <si>
    <t>Cheseaux-Noréaz</t>
  </si>
  <si>
    <t>Cronay</t>
  </si>
  <si>
    <t>Cuarny</t>
  </si>
  <si>
    <t>Démoret</t>
  </si>
  <si>
    <t>Donneloye</t>
  </si>
  <si>
    <t>Ependes</t>
  </si>
  <si>
    <t>Mathod</t>
  </si>
  <si>
    <t>Molondin</t>
  </si>
  <si>
    <t>Montagny-près-Yverdon</t>
  </si>
  <si>
    <t>Oppens</t>
  </si>
  <si>
    <t>Orges</t>
  </si>
  <si>
    <t>Orzens</t>
  </si>
  <si>
    <t>Pomy</t>
  </si>
  <si>
    <t>Rovray</t>
  </si>
  <si>
    <t>Suchy</t>
  </si>
  <si>
    <t>Suscévaz</t>
  </si>
  <si>
    <t>Treycovagnes</t>
  </si>
  <si>
    <t>Valeyres-sous-Montagny</t>
  </si>
  <si>
    <t>Valeyres-sous-Ursins</t>
  </si>
  <si>
    <t>Villars-Epeney</t>
  </si>
  <si>
    <t>Vugelles-La Mothe</t>
  </si>
  <si>
    <t>Yvonand</t>
  </si>
  <si>
    <t>Commune :</t>
  </si>
  <si>
    <t>2020/2025</t>
  </si>
  <si>
    <t>…dont distants</t>
  </si>
  <si>
    <r>
      <t xml:space="preserve">Le nombre d'élèves </t>
    </r>
    <r>
      <rPr>
        <sz val="11"/>
        <color rgb="FF00B0F0"/>
        <rFont val="Calibri"/>
        <family val="2"/>
        <scheme val="minor"/>
      </rPr>
      <t>pondéré</t>
    </r>
    <r>
      <rPr>
        <sz val="11"/>
        <color theme="1"/>
        <rFont val="Calibri"/>
        <family val="2"/>
        <scheme val="minor"/>
      </rPr>
      <t xml:space="preserve"> de la commune est de</t>
    </r>
  </si>
  <si>
    <t>Paramètres</t>
  </si>
  <si>
    <t>Participation à la cohésion sociale</t>
  </si>
  <si>
    <t>Données</t>
  </si>
  <si>
    <t>Taux de compensation</t>
  </si>
  <si>
    <t>% de la moyenne</t>
  </si>
  <si>
    <t>RFS p/hab</t>
  </si>
  <si>
    <t>IPC juin 2021</t>
  </si>
  <si>
    <t>Pourcentage de prélèvement</t>
  </si>
  <si>
    <t>Montant de la facture policière</t>
  </si>
  <si>
    <t>Forfait indexé</t>
  </si>
  <si>
    <t>Pondération élèves distants</t>
  </si>
  <si>
    <t>Forfait par hectare</t>
  </si>
  <si>
    <t>Forfait par élève</t>
  </si>
  <si>
    <t>Forfait p/hab en altitude</t>
  </si>
  <si>
    <t>Ballens</t>
  </si>
  <si>
    <t>Bassins</t>
  </si>
  <si>
    <t>Communes de A à Z</t>
  </si>
  <si>
    <t>Population en altitude</t>
  </si>
  <si>
    <t>Contrôle</t>
  </si>
  <si>
    <t>Altitude de référence</t>
  </si>
  <si>
    <t>Territoire en pente</t>
  </si>
  <si>
    <t>Compensation</t>
  </si>
  <si>
    <t>Lignes de trafic urbain</t>
  </si>
  <si>
    <t>Couche population</t>
  </si>
  <si>
    <t>Facturation (+) / défacturation (-) ad hoc</t>
  </si>
  <si>
    <t>Vue d'ensemble</t>
  </si>
  <si>
    <t>Déficits des lignes de trafic urbain</t>
  </si>
  <si>
    <t>(Dé-)facturation ad hoc</t>
  </si>
  <si>
    <t>Le nombre d'élèves domiciliés à plus de 2,5 km de leur école (distance effective par chemins et/ou routes) est en revanche de</t>
  </si>
  <si>
    <r>
      <t xml:space="preserve">Péréquation des ressources </t>
    </r>
    <r>
      <rPr>
        <i/>
        <sz val="13"/>
        <color theme="1"/>
        <rFont val="Calibri"/>
        <family val="2"/>
        <scheme val="minor"/>
      </rPr>
      <t>(dotation minimale)</t>
    </r>
  </si>
  <si>
    <t>Compensation des charges particulières des villes</t>
  </si>
  <si>
    <r>
      <t xml:space="preserve">Péréquation des ressources </t>
    </r>
    <r>
      <rPr>
        <i/>
        <sz val="13"/>
        <color theme="1"/>
        <rFont val="Calibri"/>
        <family val="2"/>
        <scheme val="minor"/>
      </rPr>
      <t>(Prélèvements conjoncturels)</t>
    </r>
  </si>
  <si>
    <r>
      <t xml:space="preserve">Péréquation des ressources </t>
    </r>
    <r>
      <rPr>
        <i/>
        <sz val="13"/>
        <color theme="1"/>
        <rFont val="Calibri"/>
        <family val="2"/>
        <scheme val="minor"/>
      </rPr>
      <t>(solidarité principale)</t>
    </r>
  </si>
  <si>
    <t>Solidarité principale</t>
  </si>
  <si>
    <r>
      <t xml:space="preserve">Péréquation des besoins structurels </t>
    </r>
    <r>
      <rPr>
        <i/>
        <sz val="13"/>
        <color theme="1"/>
        <rFont val="Calibri"/>
        <family val="2"/>
        <scheme val="minor"/>
      </rPr>
      <t>(population en altitude)</t>
    </r>
  </si>
  <si>
    <r>
      <rPr>
        <b/>
        <sz val="8"/>
        <color theme="1"/>
        <rFont val="Calibri"/>
        <family val="2"/>
        <scheme val="minor"/>
      </rPr>
      <t xml:space="preserve">Revenu fiscal standardisé (RFS)
</t>
    </r>
    <r>
      <rPr>
        <sz val="8"/>
        <color theme="1"/>
        <rFont val="Calibri"/>
        <family val="2"/>
        <scheme val="minor"/>
      </rPr>
      <t>Recettes fiscales que la commune générerait en
appliquant le coefficient d'imposition moyen pondéré
et un taux standard d'impôt foncier de 1‰</t>
    </r>
  </si>
  <si>
    <t>Surface par habitant</t>
  </si>
  <si>
    <t>Elèves par habitant</t>
  </si>
  <si>
    <t>Le nombre de personnes résidant en altitude de la commune est de</t>
  </si>
  <si>
    <r>
      <rPr>
        <b/>
        <sz val="8"/>
        <color theme="1"/>
        <rFont val="Calibri"/>
        <family val="2"/>
        <scheme val="minor"/>
      </rPr>
      <t xml:space="preserve">Personne résidant en altitude
</t>
    </r>
    <r>
      <rPr>
        <sz val="8"/>
        <color theme="1"/>
        <rFont val="Calibri"/>
        <family val="2"/>
        <scheme val="minor"/>
      </rPr>
      <t>Personne domiciliée dans la commune dont le lieu de
résidence principale est sis à une altitude de 730m ou plus</t>
    </r>
  </si>
  <si>
    <t>Année</t>
  </si>
  <si>
    <t>Objet</t>
  </si>
  <si>
    <t>Imputation forfaitaire (IIES)</t>
  </si>
  <si>
    <t>Contrôle = 0</t>
  </si>
  <si>
    <t>← Précédent</t>
  </si>
  <si>
    <t>Table des matières</t>
  </si>
  <si>
    <t>Suivant →</t>
  </si>
  <si>
    <t>Répartitions de charges</t>
  </si>
  <si>
    <t>R</t>
  </si>
  <si>
    <t>B</t>
  </si>
  <si>
    <t>V</t>
  </si>
  <si>
    <t>Péréquation des ressources (R)</t>
  </si>
  <si>
    <t>Péréquation des besoins structurels (B)</t>
  </si>
  <si>
    <t>Compensation des charges des villes (V)</t>
  </si>
  <si>
    <t>Péréquation intercommunale</t>
  </si>
  <si>
    <t>Synthèse</t>
  </si>
  <si>
    <t>Paramètre</t>
  </si>
  <si>
    <r>
      <t xml:space="preserve">Détail du rééquilibrage financier </t>
    </r>
    <r>
      <rPr>
        <sz val="9"/>
        <color theme="1"/>
        <rFont val="Calibri"/>
        <family val="2"/>
        <scheme val="minor"/>
      </rPr>
      <t>(art. 17b LOF)</t>
    </r>
  </si>
  <si>
    <r>
      <t>Facture policière</t>
    </r>
    <r>
      <rPr>
        <sz val="9"/>
        <color theme="1"/>
        <rFont val="Calibri"/>
        <family val="2"/>
        <scheme val="minor"/>
      </rPr>
      <t xml:space="preserve"> (art. 45 LOPV)</t>
    </r>
  </si>
  <si>
    <r>
      <t xml:space="preserve">Facture 2025 </t>
    </r>
    <r>
      <rPr>
        <sz val="9"/>
        <color theme="1"/>
        <rFont val="Calibri"/>
        <family val="2"/>
        <scheme val="minor"/>
      </rPr>
      <t>(al. 1)</t>
    </r>
  </si>
  <si>
    <r>
      <t xml:space="preserve">Indexation annuelle </t>
    </r>
    <r>
      <rPr>
        <sz val="9"/>
        <color theme="1"/>
        <rFont val="Calibri"/>
        <family val="2"/>
        <scheme val="minor"/>
      </rPr>
      <t>(al. 1)</t>
    </r>
  </si>
  <si>
    <r>
      <t xml:space="preserve">Socle commun </t>
    </r>
    <r>
      <rPr>
        <sz val="9"/>
        <color theme="1"/>
        <rFont val="Calibri"/>
        <family val="2"/>
        <scheme val="minor"/>
      </rPr>
      <t>(al. 2 let. b)</t>
    </r>
  </si>
  <si>
    <r>
      <t xml:space="preserve">Selon population </t>
    </r>
    <r>
      <rPr>
        <sz val="9"/>
        <color theme="1"/>
        <rFont val="Calibri"/>
        <family val="2"/>
        <scheme val="minor"/>
      </rPr>
      <t>(al. 3 let. a)</t>
    </r>
  </si>
  <si>
    <r>
      <t xml:space="preserve">Selon population pondérée </t>
    </r>
    <r>
      <rPr>
        <sz val="9"/>
        <color theme="1"/>
        <rFont val="Calibri"/>
        <family val="2"/>
        <scheme val="minor"/>
      </rPr>
      <t>(al. 3 let. b)</t>
    </r>
  </si>
  <si>
    <r>
      <t xml:space="preserve">Compensation transitoire </t>
    </r>
    <r>
      <rPr>
        <sz val="9"/>
        <color theme="1"/>
        <rFont val="Calibri"/>
        <family val="2"/>
        <scheme val="minor"/>
      </rPr>
      <t>(selon décret)</t>
    </r>
  </si>
  <si>
    <t>LOF</t>
  </si>
  <si>
    <t>LOPV</t>
  </si>
  <si>
    <t>Décret</t>
  </si>
  <si>
    <r>
      <t xml:space="preserve">Couche population </t>
    </r>
    <r>
      <rPr>
        <sz val="9"/>
        <color theme="1"/>
        <rFont val="Calibri"/>
        <family val="2"/>
        <scheme val="minor"/>
      </rPr>
      <t>(art. 15 LPIV)</t>
    </r>
    <r>
      <rPr>
        <b/>
        <sz val="12"/>
        <color theme="1"/>
        <rFont val="Calibri"/>
        <family val="2"/>
        <scheme val="minor"/>
      </rPr>
      <t xml:space="preserve"> et population pondérée pour la facture policière </t>
    </r>
    <r>
      <rPr>
        <sz val="9"/>
        <color theme="1"/>
        <rFont val="Calibri"/>
        <family val="2"/>
        <scheme val="minor"/>
      </rPr>
      <t xml:space="preserve"> (art. 45 al. 3 let. b LOPV)</t>
    </r>
  </si>
  <si>
    <t>Compensation des charges des villes</t>
  </si>
  <si>
    <t>Synthèse et recherche</t>
  </si>
  <si>
    <t>Données de base</t>
  </si>
  <si>
    <t>Paramètres et données</t>
  </si>
  <si>
    <t>N° OFS :</t>
  </si>
  <si>
    <t>La part du territoire de cette commune avec une déclivité de 35% ou plus est de</t>
  </si>
  <si>
    <t>Facture
policière</t>
  </si>
  <si>
    <t>Péréquation
des besoins</t>
  </si>
  <si>
    <t>Péréquation
des ressources</t>
  </si>
  <si>
    <t>Compensation
des villes</t>
  </si>
  <si>
    <t>Compensation
transitoire</t>
  </si>
  <si>
    <t>Péréquation au sens strict</t>
  </si>
  <si>
    <r>
      <t xml:space="preserve">Total du rééquilibrage </t>
    </r>
    <r>
      <rPr>
        <sz val="9"/>
        <color theme="1"/>
        <rFont val="Calibri"/>
        <family val="2"/>
        <scheme val="minor"/>
      </rPr>
      <t>(al. 1)</t>
    </r>
  </si>
  <si>
    <t>Pondération police</t>
  </si>
  <si>
    <t>Population
en altitude</t>
  </si>
  <si>
    <t>Année des données (surface)</t>
  </si>
  <si>
    <t>C</t>
  </si>
  <si>
    <t>À recevoir (arrondi)</t>
  </si>
  <si>
    <t>Total péréquation et factures cantonales</t>
  </si>
  <si>
    <t>N° OFS</t>
  </si>
  <si>
    <t>Détail par commune</t>
  </si>
  <si>
    <t>PCS</t>
  </si>
  <si>
    <t>Total de la péréquation des besoins structurels</t>
  </si>
  <si>
    <t>Compensation transitoire (C)</t>
  </si>
  <si>
    <t>Montant en CHF</t>
  </si>
  <si>
    <t>Pond.</t>
  </si>
  <si>
    <t>Gestion système</t>
  </si>
  <si>
    <t>à recevoir (arrondi)</t>
  </si>
  <si>
    <t>Contrôle égaux</t>
  </si>
  <si>
    <t>RFS p/hab
avec solidarité</t>
  </si>
  <si>
    <t>Montant de la participation à répartir entre les communes en fonction de leur population</t>
  </si>
  <si>
    <t>Synthèse par commune</t>
  </si>
  <si>
    <t>Compensation "surface productive"</t>
  </si>
  <si>
    <t>Compensation "population en altitude"</t>
  </si>
  <si>
    <t>Compensation "elèves pondérés"</t>
  </si>
  <si>
    <t>Compensation des déficits des lignes de trafic urbain</t>
  </si>
  <si>
    <t>Compensation des charges particulières des villes (V)</t>
  </si>
  <si>
    <t>Total Péréquation (R + B + V + C)</t>
  </si>
  <si>
    <t>Paramètrage de la feuille de calcul et références aux bases légales</t>
  </si>
  <si>
    <t>Données concernant toutes les communes utilisées dans les calculs</t>
  </si>
  <si>
    <t>Calcul du revenu fiscal standardisé à la base de la péréquation des ressources</t>
  </si>
  <si>
    <t>Répartition de charges faisant participer les communes au financement des dépenses engagées par le canton en faveur de la cohésion sociale</t>
  </si>
  <si>
    <t>Synthèse des transferts générés par la péréquation et les répartitions de charges</t>
  </si>
  <si>
    <t>Synthèse des transferts pour une commune au choix</t>
  </si>
  <si>
    <t>Illustration détaillée des transferts pour une commune au choix</t>
  </si>
  <si>
    <t>Répartition de charges relatives aux missions générales de police (MGP) accomplies par la police cantonale en faveur et / ou à la place des communes</t>
  </si>
  <si>
    <t>Total péréquation et factures cantonales :</t>
  </si>
  <si>
    <t>Compensation transitoire</t>
  </si>
  <si>
    <t>Pop. pondérée des délégatrices</t>
  </si>
  <si>
    <t>RLPIV</t>
  </si>
  <si>
    <t>Population à l'intérieur du palier</t>
  </si>
  <si>
    <r>
      <t xml:space="preserve">Participation à la cohésion sociale </t>
    </r>
    <r>
      <rPr>
        <sz val="9"/>
        <color theme="1"/>
        <rFont val="Calibri"/>
        <family val="2"/>
        <scheme val="minor"/>
      </rPr>
      <t>(art. 17 LOF)</t>
    </r>
  </si>
  <si>
    <t>Avec police (référence 2025)</t>
  </si>
  <si>
    <t>par habitant (délégatrices)</t>
  </si>
  <si>
    <t>par habitant pondéré (délégatrices)</t>
  </si>
  <si>
    <t>par habitant (canton)</t>
  </si>
  <si>
    <r>
      <t xml:space="preserve">Reprise PCS </t>
    </r>
    <r>
      <rPr>
        <sz val="9"/>
        <color theme="1"/>
        <rFont val="Calibri"/>
        <family val="2"/>
        <scheme val="minor"/>
      </rPr>
      <t>(al. 2 let. a)</t>
    </r>
  </si>
  <si>
    <r>
      <t xml:space="preserve">Reprise AAS </t>
    </r>
    <r>
      <rPr>
        <sz val="9"/>
        <color theme="1"/>
        <rFont val="Calibri"/>
        <family val="2"/>
        <scheme val="minor"/>
      </rPr>
      <t>(al. 2 let. b)</t>
    </r>
  </si>
  <si>
    <r>
      <t xml:space="preserve">Péréquation verticale </t>
    </r>
    <r>
      <rPr>
        <sz val="9"/>
        <color theme="1"/>
        <rFont val="Calibri"/>
        <family val="2"/>
        <scheme val="minor"/>
      </rPr>
      <t>(al. 2 let. d)</t>
    </r>
  </si>
  <si>
    <r>
      <t xml:space="preserve">Solde à déduire de la PCS </t>
    </r>
    <r>
      <rPr>
        <sz val="9"/>
        <color theme="1"/>
        <rFont val="Calibri"/>
        <family val="2"/>
        <scheme val="minor"/>
      </rPr>
      <t>(al. 3)</t>
    </r>
  </si>
  <si>
    <t>Pilier de la péréquation visant à atténuer les disparités fiscales entre les communes consécutives à des différences de capacité financière</t>
  </si>
  <si>
    <t>RFFA</t>
  </si>
  <si>
    <t>Loi du 24 novembre 2003 sur l'organisation et le financement de la politique sociale</t>
  </si>
  <si>
    <t>Loi du 13 septembre 2011 sur l'organisation policière vaudoise</t>
  </si>
  <si>
    <t>Décret du 4 juin 2024 octroyant une compensation transitoire aux communes désavantagées par le nouveau système</t>
  </si>
  <si>
    <t>Loi du 4 juin 2024 sur la péréquation intercommunale</t>
  </si>
  <si>
    <t>Part des communes délégatrices</t>
  </si>
  <si>
    <t>Déficit à compenser</t>
  </si>
  <si>
    <t>Déficit du trafic urbain (budget)</t>
  </si>
  <si>
    <t>Déficit du trafic urbain (solde)</t>
  </si>
  <si>
    <t>dont</t>
  </si>
  <si>
    <t>Règlement du 15 janvier 2025 d'application de la loi sur la péréquation intercommunale</t>
  </si>
  <si>
    <t>Manco</t>
  </si>
  <si>
    <t>Cible</t>
  </si>
  <si>
    <t>Recettes fiscales</t>
  </si>
  <si>
    <t>Autres données</t>
  </si>
  <si>
    <t>Taux impôt foncier</t>
  </si>
  <si>
    <t>RFS par habitant (commune)</t>
  </si>
  <si>
    <t>Données par commune</t>
  </si>
  <si>
    <t>Impôt immeubles des sociétés</t>
  </si>
  <si>
    <t>Elèves distants</t>
  </si>
  <si>
    <t>Compensation RFFA</t>
  </si>
  <si>
    <t>Corrections (amendes fiscales)</t>
  </si>
  <si>
    <t>Total des recettes fiscales</t>
  </si>
  <si>
    <t>Rendement fiscal standardisé (RFS)</t>
  </si>
  <si>
    <t>Elèves scolarisés</t>
  </si>
  <si>
    <t>Coefficient communal</t>
  </si>
  <si>
    <t>Taux d'imposition fiscaux</t>
  </si>
  <si>
    <t>Synthèse des données de référence par commune</t>
  </si>
  <si>
    <t>Pilier de la péréquation tenant compte des charges particulières des villes à travers
une compensation progressive en fonction de la population et une compensation proportionnelle aux déficits des lignes de trafic urbain</t>
  </si>
  <si>
    <t>Les prélèvements sur les impôts conjoncturels de l'ensemble des communes sont répartis entre elles en francs par habitant. Cette commune a donc droit à un montant de CHF</t>
  </si>
  <si>
    <t>RFS par habitant (moyenne cantonale)</t>
  </si>
  <si>
    <t>Effet nouvelle clé de répartition (17%)</t>
  </si>
  <si>
    <t>LPIV</t>
  </si>
  <si>
    <t>Compensation p/hab en altitude</t>
  </si>
  <si>
    <t>Elèves à compenser</t>
  </si>
  <si>
    <t>Solde</t>
  </si>
  <si>
    <t>OK</t>
  </si>
  <si>
    <t>Décompte prévisionnel 2025</t>
  </si>
  <si>
    <t>Socle sécuritaire</t>
  </si>
  <si>
    <t/>
  </si>
  <si>
    <t>Le Chenit (Le Sentier)</t>
  </si>
  <si>
    <t>Le Chenit (Le Brassus)</t>
  </si>
  <si>
    <t>Le Chenit (L'Orient)</t>
  </si>
  <si>
    <t>Le Chenit (Le Solliat)</t>
  </si>
  <si>
    <t>L'Abbaye (Le Pont)</t>
  </si>
  <si>
    <t>L'Abbaye (L'Abbaye)</t>
  </si>
  <si>
    <t>L'Abbaye (Les Bioux)</t>
  </si>
  <si>
    <t>VPI</t>
  </si>
  <si>
    <t>Dotation</t>
  </si>
  <si>
    <t>Code</t>
  </si>
  <si>
    <t>Fractions de commune</t>
  </si>
  <si>
    <t>Tx moyen</t>
  </si>
  <si>
    <t>2020</t>
  </si>
  <si>
    <r>
      <rPr>
        <sz val="11"/>
        <color theme="1"/>
        <rFont val="Calibri"/>
        <family val="2"/>
        <scheme val="minor"/>
      </rPr>
      <t>Base 12.2020</t>
    </r>
    <r>
      <rPr>
        <i/>
        <sz val="9"/>
        <color theme="1"/>
        <rFont val="Calibri"/>
        <family val="2"/>
        <scheme val="minor"/>
      </rPr>
      <t xml:space="preserve">  </t>
    </r>
    <r>
      <rPr>
        <sz val="9"/>
        <color theme="1"/>
        <rFont val="Calibri"/>
        <family val="2"/>
        <scheme val="minor"/>
      </rPr>
      <t>(Art. 19 al. 3 LPIV)</t>
    </r>
  </si>
  <si>
    <t>dès 2026</t>
  </si>
  <si>
    <t>Territoire en déclivité</t>
  </si>
  <si>
    <t>Part du territoire en déclivité</t>
  </si>
  <si>
    <t>Montant sans rééquilibrage</t>
  </si>
  <si>
    <t>Montant facturé (avec rééquilibrage)</t>
  </si>
  <si>
    <t>Base</t>
  </si>
  <si>
    <t>Fraction</t>
  </si>
  <si>
    <t>Impôts qui dépendent du taux d'imposition</t>
  </si>
  <si>
    <t>Total des impôts</t>
  </si>
  <si>
    <t>Corrections</t>
  </si>
  <si>
    <t>pour éléves distants</t>
  </si>
  <si>
    <t>pour nombre d'élèves</t>
  </si>
  <si>
    <t>Table des
matières</t>
  </si>
  <si>
    <r>
      <t xml:space="preserve">Gestion du système </t>
    </r>
    <r>
      <rPr>
        <sz val="9"/>
        <color theme="1"/>
        <rFont val="Calibri"/>
        <family val="2"/>
        <scheme val="minor"/>
      </rPr>
      <t>(art. 27 LPIV)</t>
    </r>
  </si>
  <si>
    <r>
      <t xml:space="preserve">Frontaliers </t>
    </r>
    <r>
      <rPr>
        <sz val="9"/>
        <color theme="1"/>
        <rFont val="Calibri"/>
        <family val="2"/>
        <scheme val="minor"/>
      </rPr>
      <t>(art. 8 al. 1 let. b LPIV)</t>
    </r>
  </si>
  <si>
    <r>
      <t xml:space="preserve">Droits de mutation, gains immobiliers, successions/donations </t>
    </r>
    <r>
      <rPr>
        <sz val="9"/>
        <color theme="1"/>
        <rFont val="Calibri"/>
        <family val="2"/>
        <scheme val="minor"/>
      </rPr>
      <t xml:space="preserve">(art. 8 al. 1 let. a LPIV) </t>
    </r>
  </si>
  <si>
    <r>
      <t xml:space="preserve">Taux standard impôt foncier
</t>
    </r>
    <r>
      <rPr>
        <sz val="9"/>
        <color theme="1"/>
        <rFont val="Calibri"/>
        <family val="2"/>
        <scheme val="minor"/>
      </rPr>
      <t>(art. 2 al. 1 let. a LPIV)</t>
    </r>
  </si>
  <si>
    <r>
      <t xml:space="preserve">Dotation minimale </t>
    </r>
    <r>
      <rPr>
        <sz val="9"/>
        <color theme="1"/>
        <rFont val="Calibri"/>
        <family val="2"/>
        <scheme val="minor"/>
      </rPr>
      <t>(art. 7 LPIV)</t>
    </r>
  </si>
  <si>
    <r>
      <t xml:space="preserve">Taux de solidarité </t>
    </r>
    <r>
      <rPr>
        <sz val="9"/>
        <color theme="1"/>
        <rFont val="Calibri"/>
        <family val="2"/>
        <scheme val="minor"/>
      </rPr>
      <t>(art. 6 LPIV)</t>
    </r>
  </si>
  <si>
    <r>
      <t xml:space="preserve">Total financement vertical </t>
    </r>
    <r>
      <rPr>
        <sz val="9"/>
        <color theme="1"/>
        <rFont val="Calibri"/>
        <family val="2"/>
        <scheme val="minor"/>
      </rPr>
      <t>(art. 17 al. 2 LPIV)</t>
    </r>
  </si>
  <si>
    <t>Total de la compensation RFFA</t>
  </si>
  <si>
    <r>
      <t>Besoins structurels : surface productive</t>
    </r>
    <r>
      <rPr>
        <b/>
        <sz val="10"/>
        <color theme="1"/>
        <rFont val="Calibri"/>
        <family val="2"/>
        <scheme val="minor"/>
      </rPr>
      <t xml:space="preserve"> </t>
    </r>
    <r>
      <rPr>
        <sz val="9"/>
        <color theme="1"/>
        <rFont val="Calibri"/>
        <family val="2"/>
        <scheme val="minor"/>
      </rPr>
      <t>(art. 11 LPIV)</t>
    </r>
  </si>
  <si>
    <r>
      <t xml:space="preserve">Lignes de trafic urbain </t>
    </r>
    <r>
      <rPr>
        <sz val="9"/>
        <color theme="1"/>
        <rFont val="Calibri"/>
        <family val="2"/>
        <scheme val="minor"/>
      </rPr>
      <t>(art. 14 LPIV)</t>
    </r>
  </si>
  <si>
    <r>
      <t>Besoins structurels : altitude / déclivité</t>
    </r>
    <r>
      <rPr>
        <sz val="12"/>
        <color theme="1"/>
        <rFont val="Calibri"/>
        <family val="2"/>
        <scheme val="minor"/>
      </rPr>
      <t xml:space="preserve"> </t>
    </r>
    <r>
      <rPr>
        <sz val="9"/>
        <color theme="1"/>
        <rFont val="Calibri"/>
        <family val="2"/>
        <scheme val="minor"/>
      </rPr>
      <t>(art. 12 LPIV)</t>
    </r>
  </si>
  <si>
    <r>
      <t xml:space="preserve">Besoins structurels : élèves pondérés </t>
    </r>
    <r>
      <rPr>
        <sz val="9"/>
        <color theme="1"/>
        <rFont val="Calibri"/>
        <family val="2"/>
        <scheme val="minor"/>
      </rPr>
      <t>(art. 13 LPIV)</t>
    </r>
  </si>
  <si>
    <t>* Ne tient pas compte des arrangements
survenus en cours d'année</t>
  </si>
  <si>
    <t>Pilier de la péréquation visant à atténuer les disparités de charges entre les communes dues à des facteurs structurels (surface productive, population en altitude et élèves)</t>
  </si>
  <si>
    <t>Impôt récupéré après défalcation</t>
  </si>
  <si>
    <t>Selon décompte prévisionnel*</t>
  </si>
  <si>
    <t>+ à payer et
- à recevoir</t>
  </si>
  <si>
    <t>Décompte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</si>
</sst>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0.0"/>
    <numFmt numFmtId="167" formatCode="#,##0\ &quot;CHF&quot;"/>
    <numFmt numFmtId="168" formatCode="#,##0_ ;\-#,##0\ "/>
    <numFmt numFmtId="169" formatCode="#,##0.000"/>
    <numFmt numFmtId="170" formatCode="0.000"/>
  </numFmts>
  <fonts count="6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Calibri"/>
      <family val="2"/>
      <scheme val="minor"/>
    </font>
    <font>
      <sz val="11"/>
      <name val="Calibri"/>
      <family val="2"/>
      <scheme val="minor"/>
    </font>
    <font>
      <b/>
      <sz val="11"/>
      <name val="Calibri"/>
      <family val="2"/>
      <scheme val="minor"/>
    </font>
    <font>
      <sz val="8"/>
      <color theme="1"/>
      <name val="Calibri"/>
      <family val="2"/>
      <scheme val="minor"/>
    </font>
    <font>
      <sz val="11"/>
      <color rgb="FFFF0000"/>
      <name val="Calibri"/>
      <family val="2"/>
      <scheme val="minor"/>
    </font>
    <font>
      <sz val="10"/>
      <color theme="1"/>
      <name val="Calibri"/>
      <family val="2"/>
      <scheme val="minor"/>
    </font>
    <font>
      <sz val="11"/>
      <color theme="1"/>
      <name val="Arial"/>
      <family val="2"/>
    </font>
    <font>
      <u/>
      <sz val="11"/>
      <color theme="10"/>
      <name val="Calibri"/>
      <family val="2"/>
      <scheme val="minor"/>
    </font>
    <font>
      <sz val="10"/>
      <name val="Arial"/>
      <family val="2"/>
    </font>
    <font>
      <sz val="9"/>
      <color theme="1"/>
      <name val="Calibri"/>
      <family val="2"/>
      <scheme val="minor"/>
    </font>
    <font>
      <sz val="12"/>
      <color theme="1"/>
      <name val="Calibri"/>
      <family val="2"/>
      <scheme val="minor"/>
    </font>
    <font>
      <sz val="11"/>
      <color theme="1"/>
      <name val="Calibri"/>
      <family val="2"/>
      <charset val="1"/>
      <scheme val="minor"/>
    </font>
    <font>
      <sz val="11"/>
      <color indexed="8"/>
      <name val="Calibri"/>
      <family val="2"/>
    </font>
    <font>
      <sz val="11"/>
      <color rgb="FFFF00FF"/>
      <name val="Calibri"/>
      <family val="2"/>
      <scheme val="minor"/>
    </font>
    <font>
      <b/>
      <sz val="8"/>
      <color theme="1"/>
      <name val="Calibri"/>
      <family val="2"/>
      <scheme val="minor"/>
    </font>
    <font>
      <b/>
      <sz val="13"/>
      <name val="Calibri"/>
      <family val="2"/>
      <scheme val="minor"/>
    </font>
    <font>
      <b/>
      <sz val="13"/>
      <color theme="1"/>
      <name val="Calibri"/>
      <family val="2"/>
      <scheme val="minor"/>
    </font>
    <font>
      <b/>
      <sz val="15"/>
      <color theme="1"/>
      <name val="Calibri"/>
      <family val="2"/>
      <scheme val="minor"/>
    </font>
    <font>
      <sz val="11"/>
      <color rgb="FF7030A0"/>
      <name val="Calibri"/>
      <family val="2"/>
      <scheme val="minor"/>
    </font>
    <font>
      <i/>
      <sz val="13"/>
      <color theme="1"/>
      <name val="Calibri"/>
      <family val="2"/>
      <scheme val="minor"/>
    </font>
    <font>
      <u/>
      <sz val="11"/>
      <color theme="1"/>
      <name val="Calibri"/>
      <family val="2"/>
      <scheme val="minor"/>
    </font>
    <font>
      <i/>
      <sz val="9"/>
      <color theme="1"/>
      <name val="Calibri"/>
      <family val="2"/>
      <scheme val="minor"/>
    </font>
    <font>
      <sz val="11"/>
      <color rgb="FF000000"/>
      <name val="Calibri"/>
      <family val="2"/>
    </font>
    <font>
      <sz val="11"/>
      <color rgb="FF00B0F0"/>
      <name val="Calibri"/>
      <family val="2"/>
      <scheme val="minor"/>
    </font>
    <font>
      <i/>
      <sz val="9"/>
      <color rgb="FF00B0F0"/>
      <name val="Calibri"/>
      <family val="2"/>
      <scheme val="minor"/>
    </font>
    <font>
      <b/>
      <sz val="12"/>
      <color theme="1"/>
      <name val="Calibri"/>
      <family val="2"/>
      <scheme val="minor"/>
    </font>
    <font>
      <i/>
      <sz val="11"/>
      <color theme="1"/>
      <name val="Calibri"/>
      <family val="2"/>
      <scheme val="minor"/>
    </font>
    <font>
      <b/>
      <sz val="14"/>
      <color theme="1"/>
      <name val="Calibri"/>
      <family val="2"/>
      <scheme val="minor"/>
    </font>
    <font>
      <b/>
      <sz val="10"/>
      <color theme="1"/>
      <name val="Calibri"/>
      <family val="2"/>
      <scheme val="minor"/>
    </font>
    <font>
      <sz val="10"/>
      <name val="Calibri"/>
      <family val="2"/>
      <scheme val="minor"/>
    </font>
    <font>
      <b/>
      <u/>
      <sz val="10"/>
      <color theme="10"/>
      <name val="Calibri"/>
      <family val="2"/>
      <scheme val="minor"/>
    </font>
    <font>
      <sz val="10"/>
      <name val="Verdana"/>
      <family val="2"/>
    </font>
    <font>
      <b/>
      <sz val="16"/>
      <name val="Verdana"/>
      <family val="2"/>
    </font>
    <font>
      <u/>
      <sz val="10"/>
      <color theme="10"/>
      <name val="Verdana"/>
      <family val="2"/>
    </font>
    <font>
      <sz val="8"/>
      <name val="Verdana"/>
      <family val="2"/>
    </font>
    <font>
      <b/>
      <sz val="10"/>
      <name val="Verdana"/>
      <family val="2"/>
    </font>
    <font>
      <b/>
      <sz val="12"/>
      <name val="Verdana"/>
      <family val="2"/>
    </font>
    <font>
      <sz val="12"/>
      <color theme="1"/>
      <name val="Calibri Light"/>
      <family val="2"/>
      <scheme val="major"/>
    </font>
    <font>
      <sz val="11"/>
      <color theme="1"/>
      <name val="Calibri Light"/>
      <family val="2"/>
      <scheme val="major"/>
    </font>
    <font>
      <b/>
      <sz val="12"/>
      <color theme="1"/>
      <name val="Calibri Light"/>
      <family val="2"/>
      <scheme val="major"/>
    </font>
    <font>
      <b/>
      <sz val="12"/>
      <color theme="0"/>
      <name val="Calibri Light"/>
      <family val="2"/>
      <scheme val="major"/>
    </font>
    <font>
      <sz val="10"/>
      <color theme="1"/>
      <name val="Calibri Light"/>
      <family val="2"/>
      <scheme val="major"/>
    </font>
    <font>
      <b/>
      <sz val="18"/>
      <color theme="1"/>
      <name val="Calibri Light"/>
      <family val="2"/>
      <scheme val="major"/>
    </font>
    <font>
      <b/>
      <sz val="11"/>
      <color theme="1"/>
      <name val="Calibri Light"/>
      <family val="2"/>
      <scheme val="major"/>
    </font>
    <font>
      <b/>
      <sz val="11"/>
      <color theme="0"/>
      <name val="Calibri Light"/>
      <family val="2"/>
      <scheme val="major"/>
    </font>
    <font>
      <sz val="9"/>
      <color theme="1"/>
      <name val="Calibri Light"/>
      <family val="2"/>
      <scheme val="major"/>
    </font>
    <font>
      <b/>
      <sz val="24"/>
      <color theme="1"/>
      <name val="Calibri Light"/>
      <family val="2"/>
      <scheme val="major"/>
    </font>
    <font>
      <b/>
      <sz val="12"/>
      <color theme="1"/>
      <name val="Calibri"/>
      <family val="2"/>
    </font>
    <font>
      <sz val="12"/>
      <color theme="7" tint="-0.499984740745262"/>
      <name val="Calibri Light"/>
      <family val="2"/>
      <scheme val="major"/>
    </font>
    <font>
      <sz val="12"/>
      <color rgb="FF0070C0"/>
      <name val="Calibri Light"/>
      <family val="2"/>
      <scheme val="major"/>
    </font>
    <font>
      <sz val="12"/>
      <color theme="9" tint="-0.249977111117893"/>
      <name val="Calibri Light"/>
      <family val="2"/>
      <scheme val="major"/>
    </font>
    <font>
      <b/>
      <sz val="11"/>
      <name val="Calibri Light"/>
      <family val="2"/>
      <scheme val="major"/>
    </font>
    <font>
      <sz val="12"/>
      <color rgb="FF9A009A"/>
      <name val="Calibri Light"/>
      <family val="2"/>
      <scheme val="major"/>
    </font>
    <font>
      <sz val="11"/>
      <color rgb="FF00B050"/>
      <name val="Calibri"/>
      <family val="2"/>
      <scheme val="minor"/>
    </font>
    <font>
      <sz val="7"/>
      <color theme="1"/>
      <name val="Calibri"/>
      <family val="2"/>
      <scheme val="minor"/>
    </font>
    <font>
      <b/>
      <sz val="9"/>
      <color theme="1"/>
      <name val="Calibri Light"/>
      <family val="2"/>
      <scheme val="major"/>
    </font>
    <font>
      <b/>
      <sz val="9"/>
      <color theme="0"/>
      <name val="Calibri Light"/>
      <family val="2"/>
      <scheme val="major"/>
    </font>
    <font>
      <b/>
      <sz val="9"/>
      <name val="Calibri Light"/>
      <family val="2"/>
      <scheme val="major"/>
    </font>
  </fonts>
  <fills count="2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CCCFF"/>
        <bgColor indexed="64"/>
      </patternFill>
    </fill>
    <fill>
      <patternFill patternType="solid">
        <fgColor rgb="FFCCFFFF"/>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tint="-0.14999847407452621"/>
        <bgColor theme="0" tint="-0.14993743705557422"/>
      </patternFill>
    </fill>
    <fill>
      <patternFill patternType="solid">
        <fgColor theme="0"/>
        <bgColor theme="0" tint="-0.14993743705557422"/>
      </patternFill>
    </fill>
    <fill>
      <patternFill patternType="solid">
        <fgColor theme="5" tint="0.79998168889431442"/>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theme="6" tint="0.79998168889431442"/>
        <bgColor indexed="64"/>
      </patternFill>
    </fill>
    <fill>
      <patternFill patternType="solid">
        <fgColor theme="6" tint="0.79998168889431442"/>
        <bgColor theme="0" tint="-0.499984740745262"/>
      </patternFill>
    </fill>
    <fill>
      <patternFill patternType="solid">
        <fgColor rgb="FFFFE6FF"/>
        <bgColor indexed="64"/>
      </patternFill>
    </fill>
    <fill>
      <patternFill patternType="solid">
        <fgColor rgb="FF99FFCC"/>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tint="-0.49998474074526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13">
    <xf numFmtId="0" fontId="0" fillId="0" borderId="0"/>
    <xf numFmtId="9" fontId="1" fillId="0" borderId="0" applyFont="0" applyFill="0" applyBorder="0" applyAlignment="0" applyProtection="0"/>
    <xf numFmtId="0" fontId="10" fillId="0" borderId="0"/>
    <xf numFmtId="9" fontId="10" fillId="0" borderId="0" applyFont="0" applyFill="0" applyBorder="0" applyAlignment="0" applyProtection="0"/>
    <xf numFmtId="0" fontId="11" fillId="0" borderId="0" applyNumberFormat="0" applyFill="0" applyBorder="0" applyAlignment="0" applyProtection="0"/>
    <xf numFmtId="0" fontId="12" fillId="0" borderId="0"/>
    <xf numFmtId="0" fontId="15" fillId="0" borderId="0"/>
    <xf numFmtId="0" fontId="16" fillId="0" borderId="0"/>
    <xf numFmtId="0" fontId="12" fillId="0" borderId="0" applyNumberFormat="0" applyFill="0" applyBorder="0" applyAlignment="0" applyProtection="0"/>
    <xf numFmtId="0" fontId="26" fillId="0" borderId="0" applyBorder="0"/>
    <xf numFmtId="0" fontId="35" fillId="0" borderId="0"/>
    <xf numFmtId="0" fontId="37" fillId="0" borderId="0" applyNumberFormat="0" applyFill="0" applyBorder="0" applyAlignment="0" applyProtection="0"/>
    <xf numFmtId="43" fontId="1" fillId="0" borderId="0" applyFont="0" applyFill="0" applyBorder="0" applyAlignment="0" applyProtection="0"/>
  </cellStyleXfs>
  <cellXfs count="719">
    <xf numFmtId="0" fontId="0" fillId="0" borderId="0" xfId="0"/>
    <xf numFmtId="0" fontId="0" fillId="2" borderId="0" xfId="0" applyFill="1"/>
    <xf numFmtId="0" fontId="0" fillId="2" borderId="0" xfId="0" applyFill="1" applyAlignment="1">
      <alignment horizontal="center"/>
    </xf>
    <xf numFmtId="166" fontId="0" fillId="2" borderId="0" xfId="0" applyNumberFormat="1" applyFill="1" applyAlignment="1">
      <alignment horizontal="center" vertical="center"/>
    </xf>
    <xf numFmtId="0" fontId="0" fillId="2" borderId="0" xfId="0" applyFill="1" applyAlignment="1">
      <alignment vertical="center"/>
    </xf>
    <xf numFmtId="0" fontId="2" fillId="2" borderId="0" xfId="0" applyFont="1" applyFill="1" applyAlignment="1">
      <alignment horizontal="center" vertical="center" wrapText="1"/>
    </xf>
    <xf numFmtId="0" fontId="0" fillId="2" borderId="0" xfId="0" applyFill="1" applyAlignment="1">
      <alignment horizontal="center" vertical="center"/>
    </xf>
    <xf numFmtId="3" fontId="0" fillId="2" borderId="15" xfId="0" applyNumberFormat="1" applyFill="1" applyBorder="1" applyAlignment="1">
      <alignment horizontal="center" vertical="center"/>
    </xf>
    <xf numFmtId="0" fontId="4" fillId="2" borderId="0" xfId="0" applyFont="1" applyFill="1" applyAlignment="1">
      <alignment vertical="center"/>
    </xf>
    <xf numFmtId="3" fontId="0" fillId="2" borderId="0" xfId="0" applyNumberFormat="1" applyFill="1" applyAlignment="1">
      <alignment horizontal="center"/>
    </xf>
    <xf numFmtId="0" fontId="4" fillId="2" borderId="0" xfId="0" applyFont="1" applyFill="1"/>
    <xf numFmtId="0" fontId="3" fillId="2" borderId="0" xfId="0" applyFont="1" applyFill="1" applyAlignment="1">
      <alignment vertical="center"/>
    </xf>
    <xf numFmtId="3" fontId="0" fillId="2" borderId="1" xfId="0" applyNumberFormat="1" applyFill="1" applyBorder="1" applyAlignment="1">
      <alignment horizontal="center" vertical="center"/>
    </xf>
    <xf numFmtId="0" fontId="3" fillId="2" borderId="0" xfId="0" applyFont="1" applyFill="1" applyAlignment="1">
      <alignment horizontal="center" vertical="center"/>
    </xf>
    <xf numFmtId="3" fontId="0" fillId="2" borderId="0" xfId="0" applyNumberFormat="1" applyFill="1" applyAlignment="1">
      <alignment horizontal="center" vertical="center"/>
    </xf>
    <xf numFmtId="3" fontId="0" fillId="2" borderId="0" xfId="0" applyNumberFormat="1" applyFill="1"/>
    <xf numFmtId="0" fontId="0" fillId="2" borderId="0" xfId="0" applyFill="1" applyAlignment="1">
      <alignment vertical="center" wrapText="1"/>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3" fontId="0" fillId="2" borderId="0" xfId="0" applyNumberFormat="1" applyFill="1" applyAlignment="1">
      <alignment horizontal="center" vertical="center" wrapText="1"/>
    </xf>
    <xf numFmtId="9" fontId="0" fillId="2" borderId="0" xfId="0" applyNumberFormat="1" applyFill="1" applyAlignment="1">
      <alignment horizontal="center" vertical="center"/>
    </xf>
    <xf numFmtId="0" fontId="2" fillId="2" borderId="5" xfId="0" applyFont="1" applyFill="1" applyBorder="1" applyAlignment="1">
      <alignment horizontal="center" vertical="center" wrapText="1"/>
    </xf>
    <xf numFmtId="0" fontId="17" fillId="2" borderId="0" xfId="0" applyFont="1" applyFill="1"/>
    <xf numFmtId="0" fontId="3" fillId="2" borderId="0" xfId="0" applyFont="1" applyFill="1" applyAlignment="1">
      <alignment horizontal="center" vertical="center" wrapText="1"/>
    </xf>
    <xf numFmtId="9" fontId="5" fillId="2" borderId="0" xfId="0" applyNumberFormat="1" applyFont="1" applyFill="1" applyAlignment="1">
      <alignment horizontal="center" vertical="center"/>
    </xf>
    <xf numFmtId="3" fontId="0" fillId="2" borderId="6" xfId="0" applyNumberFormat="1" applyFill="1" applyBorder="1" applyAlignment="1">
      <alignment horizontal="center" vertical="center"/>
    </xf>
    <xf numFmtId="0" fontId="9" fillId="2" borderId="0" xfId="0" applyFont="1" applyFill="1" applyAlignment="1">
      <alignment vertical="center" wrapText="1"/>
    </xf>
    <xf numFmtId="0" fontId="3" fillId="2" borderId="0" xfId="0" applyFont="1" applyFill="1"/>
    <xf numFmtId="0" fontId="20" fillId="2" borderId="0" xfId="0" applyFont="1" applyFill="1" applyAlignment="1">
      <alignment vertical="center"/>
    </xf>
    <xf numFmtId="3" fontId="0" fillId="2" borderId="0" xfId="0" applyNumberFormat="1" applyFill="1" applyAlignment="1">
      <alignment vertical="center"/>
    </xf>
    <xf numFmtId="9" fontId="22" fillId="2" borderId="0" xfId="1" applyFont="1" applyFill="1" applyAlignment="1">
      <alignment horizontal="center" vertical="center"/>
    </xf>
    <xf numFmtId="3" fontId="3" fillId="2" borderId="0" xfId="0" applyNumberFormat="1" applyFont="1" applyFill="1" applyAlignment="1">
      <alignment horizontal="center" vertical="center"/>
    </xf>
    <xf numFmtId="3" fontId="3" fillId="5" borderId="0" xfId="0" applyNumberFormat="1" applyFont="1" applyFill="1" applyAlignment="1">
      <alignment horizontal="center" vertical="center"/>
    </xf>
    <xf numFmtId="0" fontId="3" fillId="2" borderId="0" xfId="0" applyFont="1" applyFill="1" applyAlignment="1">
      <alignment horizontal="right" vertical="center"/>
    </xf>
    <xf numFmtId="3" fontId="24" fillId="2" borderId="0" xfId="0" applyNumberFormat="1" applyFont="1" applyFill="1" applyAlignment="1">
      <alignment horizontal="center" vertical="center"/>
    </xf>
    <xf numFmtId="3" fontId="24" fillId="2" borderId="0" xfId="0" applyNumberFormat="1" applyFont="1" applyFill="1" applyAlignment="1">
      <alignment horizontal="center" vertical="center" wrapText="1"/>
    </xf>
    <xf numFmtId="0" fontId="20" fillId="3" borderId="0" xfId="0" applyFont="1" applyFill="1" applyAlignment="1">
      <alignment vertical="center"/>
    </xf>
    <xf numFmtId="0" fontId="0" fillId="3" borderId="0" xfId="0" applyFill="1" applyAlignment="1">
      <alignment vertical="center"/>
    </xf>
    <xf numFmtId="0" fontId="20" fillId="5" borderId="0" xfId="0" applyFont="1" applyFill="1" applyAlignment="1">
      <alignment vertical="center"/>
    </xf>
    <xf numFmtId="0" fontId="0" fillId="5" borderId="0" xfId="0" applyFill="1" applyAlignment="1">
      <alignment vertical="center"/>
    </xf>
    <xf numFmtId="0" fontId="20" fillId="9" borderId="0" xfId="0" applyFont="1" applyFill="1" applyAlignment="1">
      <alignment vertical="center"/>
    </xf>
    <xf numFmtId="0" fontId="0" fillId="9" borderId="0" xfId="0" applyFill="1" applyAlignment="1">
      <alignment vertical="center"/>
    </xf>
    <xf numFmtId="3" fontId="3" fillId="3" borderId="0" xfId="0" applyNumberFormat="1" applyFont="1" applyFill="1" applyAlignment="1">
      <alignment horizontal="center" vertical="center"/>
    </xf>
    <xf numFmtId="3" fontId="3" fillId="2" borderId="15" xfId="0" applyNumberFormat="1" applyFont="1" applyFill="1" applyBorder="1" applyAlignment="1">
      <alignment horizontal="center" vertical="center"/>
    </xf>
    <xf numFmtId="165" fontId="0" fillId="2" borderId="0" xfId="1" applyNumberFormat="1" applyFont="1" applyFill="1" applyAlignment="1">
      <alignment horizontal="center" vertical="center"/>
    </xf>
    <xf numFmtId="0" fontId="0" fillId="2" borderId="0" xfId="0" applyFill="1" applyAlignment="1">
      <alignment horizontal="center" vertical="center" wrapText="1"/>
    </xf>
    <xf numFmtId="0" fontId="29" fillId="2" borderId="0" xfId="0" applyFont="1" applyFill="1" applyAlignment="1">
      <alignment vertical="center"/>
    </xf>
    <xf numFmtId="0" fontId="29" fillId="2" borderId="0" xfId="0" applyFont="1" applyFill="1"/>
    <xf numFmtId="0" fontId="29" fillId="2" borderId="0" xfId="0" applyFont="1" applyFill="1" applyAlignment="1">
      <alignment horizontal="left" vertical="center"/>
    </xf>
    <xf numFmtId="167" fontId="5" fillId="2" borderId="0" xfId="0" applyNumberFormat="1" applyFont="1" applyFill="1" applyAlignment="1">
      <alignment horizontal="center" vertical="center"/>
    </xf>
    <xf numFmtId="3" fontId="13" fillId="2" borderId="0" xfId="0" applyNumberFormat="1" applyFont="1" applyFill="1" applyAlignment="1">
      <alignment horizontal="right" vertical="center"/>
    </xf>
    <xf numFmtId="2" fontId="28" fillId="2" borderId="0" xfId="0" applyNumberFormat="1" applyFont="1" applyFill="1" applyAlignment="1">
      <alignment horizontal="center" vertical="center"/>
    </xf>
    <xf numFmtId="4" fontId="28" fillId="2" borderId="0" xfId="0" applyNumberFormat="1" applyFont="1" applyFill="1" applyAlignment="1">
      <alignment horizontal="center" vertical="center"/>
    </xf>
    <xf numFmtId="167" fontId="0" fillId="7" borderId="1" xfId="0" applyNumberFormat="1" applyFill="1" applyBorder="1" applyAlignment="1">
      <alignment horizontal="center" vertical="center"/>
    </xf>
    <xf numFmtId="0" fontId="8" fillId="2" borderId="0" xfId="0" applyFont="1" applyFill="1" applyAlignment="1">
      <alignment vertical="center"/>
    </xf>
    <xf numFmtId="0" fontId="3" fillId="2" borderId="0" xfId="0" applyFont="1" applyFill="1" applyAlignment="1">
      <alignment horizontal="center"/>
    </xf>
    <xf numFmtId="164" fontId="0" fillId="2" borderId="0" xfId="1" applyNumberFormat="1" applyFont="1" applyFill="1" applyBorder="1" applyAlignment="1" applyProtection="1">
      <alignment horizontal="center" vertical="center"/>
    </xf>
    <xf numFmtId="0" fontId="30" fillId="2" borderId="0" xfId="0" applyFont="1" applyFill="1" applyAlignment="1">
      <alignment vertical="center" wrapText="1"/>
    </xf>
    <xf numFmtId="0" fontId="0" fillId="2" borderId="0" xfId="0" applyFill="1" applyAlignment="1">
      <alignment wrapText="1"/>
    </xf>
    <xf numFmtId="0" fontId="0" fillId="2" borderId="0" xfId="0" applyFill="1" applyAlignment="1">
      <alignment horizontal="center" wrapText="1"/>
    </xf>
    <xf numFmtId="3" fontId="3" fillId="3" borderId="20" xfId="0" applyNumberFormat="1" applyFont="1" applyFill="1" applyBorder="1" applyAlignment="1">
      <alignment horizontal="center" vertical="center"/>
    </xf>
    <xf numFmtId="3" fontId="3" fillId="9" borderId="20" xfId="0" applyNumberFormat="1" applyFont="1" applyFill="1" applyBorder="1" applyAlignment="1">
      <alignment horizontal="center" vertical="center"/>
    </xf>
    <xf numFmtId="3" fontId="3" fillId="5" borderId="20" xfId="0" applyNumberFormat="1" applyFont="1" applyFill="1" applyBorder="1" applyAlignment="1">
      <alignment horizontal="center" vertical="center"/>
    </xf>
    <xf numFmtId="165" fontId="3" fillId="2" borderId="0" xfId="1" applyNumberFormat="1" applyFont="1" applyFill="1" applyBorder="1" applyAlignment="1" applyProtection="1">
      <alignment horizontal="center" vertical="center" wrapText="1"/>
    </xf>
    <xf numFmtId="3" fontId="3" fillId="2" borderId="0" xfId="0" applyNumberFormat="1" applyFont="1" applyFill="1" applyAlignment="1">
      <alignment horizontal="center" vertical="center" wrapText="1"/>
    </xf>
    <xf numFmtId="166" fontId="0" fillId="2" borderId="1" xfId="0" applyNumberFormat="1" applyFill="1" applyBorder="1" applyAlignment="1">
      <alignment horizontal="center"/>
    </xf>
    <xf numFmtId="0" fontId="0" fillId="2" borderId="0" xfId="0" applyFill="1" applyAlignment="1">
      <alignment horizontal="right" vertical="center" wrapText="1"/>
    </xf>
    <xf numFmtId="164" fontId="0" fillId="2" borderId="1" xfId="0" applyNumberFormat="1" applyFill="1" applyBorder="1" applyAlignment="1">
      <alignment horizontal="center"/>
    </xf>
    <xf numFmtId="0" fontId="0" fillId="2" borderId="1" xfId="0" applyFill="1" applyBorder="1" applyAlignment="1">
      <alignment horizontal="center" vertical="center"/>
    </xf>
    <xf numFmtId="3" fontId="3" fillId="2" borderId="1" xfId="0" applyNumberFormat="1" applyFont="1" applyFill="1" applyBorder="1" applyAlignment="1">
      <alignment horizontal="center" vertical="center"/>
    </xf>
    <xf numFmtId="0" fontId="13" fillId="2" borderId="0" xfId="0" applyFont="1" applyFill="1" applyAlignment="1">
      <alignment horizontal="left" vertical="center" wrapText="1"/>
    </xf>
    <xf numFmtId="3" fontId="3" fillId="4" borderId="20"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0" fillId="2" borderId="6" xfId="0" applyFill="1" applyBorder="1" applyAlignment="1">
      <alignment horizontal="center" vertical="center"/>
    </xf>
    <xf numFmtId="0" fontId="3" fillId="2" borderId="2" xfId="0" applyFont="1" applyFill="1" applyBorder="1" applyAlignment="1">
      <alignment horizontal="center"/>
    </xf>
    <xf numFmtId="0" fontId="3" fillId="2" borderId="13" xfId="0" applyFont="1" applyFill="1" applyBorder="1" applyAlignment="1">
      <alignment horizontal="center"/>
    </xf>
    <xf numFmtId="0" fontId="3" fillId="2" borderId="3" xfId="0" applyFont="1" applyFill="1" applyBorder="1" applyAlignment="1">
      <alignment horizontal="center"/>
    </xf>
    <xf numFmtId="0" fontId="9" fillId="2" borderId="0" xfId="0" applyFont="1" applyFill="1"/>
    <xf numFmtId="1" fontId="0" fillId="2" borderId="0" xfId="0" applyNumberFormat="1" applyFill="1" applyAlignment="1">
      <alignment horizontal="center" vertical="center"/>
    </xf>
    <xf numFmtId="2" fontId="0" fillId="2" borderId="1" xfId="0" applyNumberFormat="1" applyFill="1" applyBorder="1" applyAlignment="1">
      <alignment horizontal="center" vertical="center"/>
    </xf>
    <xf numFmtId="167" fontId="0" fillId="2" borderId="1" xfId="0" applyNumberFormat="1" applyFill="1" applyBorder="1" applyAlignment="1">
      <alignment horizontal="center" vertical="center"/>
    </xf>
    <xf numFmtId="1" fontId="0" fillId="2" borderId="1" xfId="0" applyNumberFormat="1" applyFill="1" applyBorder="1" applyAlignment="1">
      <alignment horizontal="center" vertical="center"/>
    </xf>
    <xf numFmtId="3" fontId="0" fillId="7" borderId="1" xfId="0" applyNumberFormat="1" applyFill="1" applyBorder="1" applyAlignment="1">
      <alignment horizontal="center" vertical="center"/>
    </xf>
    <xf numFmtId="9" fontId="0" fillId="11" borderId="1" xfId="1" applyFont="1" applyFill="1" applyBorder="1" applyAlignment="1">
      <alignment horizontal="center" vertical="center"/>
    </xf>
    <xf numFmtId="0" fontId="9" fillId="2" borderId="0" xfId="0" applyFont="1" applyFill="1" applyAlignment="1">
      <alignment vertical="center"/>
    </xf>
    <xf numFmtId="0" fontId="0" fillId="2" borderId="22" xfId="0" applyFill="1" applyBorder="1" applyAlignment="1">
      <alignment vertical="center"/>
    </xf>
    <xf numFmtId="0" fontId="35" fillId="2" borderId="0" xfId="10" applyFill="1" applyAlignment="1">
      <alignment vertical="center"/>
    </xf>
    <xf numFmtId="0" fontId="35" fillId="2" borderId="0" xfId="10" applyFill="1"/>
    <xf numFmtId="0" fontId="39" fillId="2" borderId="0" xfId="10" applyFont="1" applyFill="1" applyAlignment="1">
      <alignment horizontal="left" vertical="center" indent="1"/>
    </xf>
    <xf numFmtId="0" fontId="11" fillId="10" borderId="10" xfId="4" applyFill="1" applyBorder="1" applyAlignment="1">
      <alignment horizontal="left" vertical="center" indent="1"/>
    </xf>
    <xf numFmtId="0" fontId="11" fillId="10" borderId="11" xfId="4" applyFill="1" applyBorder="1" applyAlignment="1">
      <alignment horizontal="left" vertical="center" indent="1"/>
    </xf>
    <xf numFmtId="0" fontId="11" fillId="10" borderId="12" xfId="4" applyFill="1" applyBorder="1" applyAlignment="1">
      <alignment horizontal="left" vertical="center" indent="1"/>
    </xf>
    <xf numFmtId="0" fontId="11" fillId="5" borderId="2" xfId="4" applyFill="1" applyBorder="1" applyAlignment="1">
      <alignment horizontal="left" vertical="center" indent="1"/>
    </xf>
    <xf numFmtId="0" fontId="11" fillId="6" borderId="2" xfId="4" applyFill="1" applyBorder="1" applyAlignment="1">
      <alignment horizontal="left" vertical="center" indent="1"/>
    </xf>
    <xf numFmtId="0" fontId="11" fillId="3" borderId="12" xfId="4" applyFill="1" applyBorder="1" applyAlignment="1">
      <alignment horizontal="left" vertical="center" indent="1"/>
    </xf>
    <xf numFmtId="0" fontId="36" fillId="2" borderId="0" xfId="10" applyFont="1" applyFill="1" applyAlignment="1">
      <alignment vertical="center"/>
    </xf>
    <xf numFmtId="0" fontId="34" fillId="2" borderId="0" xfId="4" applyFont="1" applyFill="1" applyAlignment="1" applyProtection="1">
      <alignment horizontal="right" vertical="center"/>
    </xf>
    <xf numFmtId="0" fontId="34" fillId="2" borderId="0" xfId="4" applyFont="1" applyFill="1" applyAlignment="1" applyProtection="1">
      <alignment horizontal="left" vertical="center"/>
    </xf>
    <xf numFmtId="166" fontId="34" fillId="2" borderId="0" xfId="4" applyNumberFormat="1" applyFont="1" applyFill="1" applyAlignment="1" applyProtection="1">
      <alignment horizontal="center" vertical="center" wrapText="1"/>
    </xf>
    <xf numFmtId="0" fontId="34" fillId="2" borderId="0" xfId="4" applyFont="1" applyFill="1" applyAlignment="1" applyProtection="1">
      <alignment vertical="center"/>
    </xf>
    <xf numFmtId="0" fontId="34" fillId="2" borderId="0" xfId="4" applyFont="1" applyFill="1" applyBorder="1" applyAlignment="1" applyProtection="1">
      <alignment horizontal="center" vertical="center" wrapText="1"/>
    </xf>
    <xf numFmtId="0" fontId="4" fillId="2" borderId="0" xfId="0" applyFont="1" applyFill="1" applyAlignment="1">
      <alignment horizontal="left" vertical="center"/>
    </xf>
    <xf numFmtId="0" fontId="0" fillId="2" borderId="0" xfId="0" applyFill="1" applyAlignment="1">
      <alignment horizontal="left" vertical="center"/>
    </xf>
    <xf numFmtId="167" fontId="0" fillId="2" borderId="4" xfId="0" applyNumberFormat="1" applyFill="1" applyBorder="1" applyAlignment="1">
      <alignment horizontal="center" vertical="center"/>
    </xf>
    <xf numFmtId="0" fontId="11" fillId="7" borderId="2" xfId="4" applyFill="1" applyBorder="1" applyAlignment="1">
      <alignment horizontal="left" vertical="center" indent="1"/>
    </xf>
    <xf numFmtId="49" fontId="0" fillId="8" borderId="1" xfId="0" applyNumberFormat="1" applyFill="1" applyBorder="1" applyAlignment="1" applyProtection="1">
      <alignment horizontal="center" vertical="center"/>
      <protection locked="0"/>
    </xf>
    <xf numFmtId="0" fontId="0" fillId="8" borderId="1" xfId="0" applyFill="1" applyBorder="1" applyAlignment="1" applyProtection="1">
      <alignment horizontal="center" vertical="center"/>
      <protection locked="0"/>
    </xf>
    <xf numFmtId="0" fontId="0" fillId="8" borderId="3" xfId="0" applyFill="1" applyBorder="1" applyAlignment="1" applyProtection="1">
      <alignment horizontal="center" vertical="center"/>
      <protection locked="0"/>
    </xf>
    <xf numFmtId="3" fontId="0" fillId="8" borderId="1" xfId="0" applyNumberFormat="1" applyFill="1" applyBorder="1" applyAlignment="1" applyProtection="1">
      <alignment horizontal="center" vertical="center"/>
      <protection locked="0"/>
    </xf>
    <xf numFmtId="3" fontId="0" fillId="8" borderId="6" xfId="0" applyNumberFormat="1" applyFill="1" applyBorder="1" applyAlignment="1" applyProtection="1">
      <alignment horizontal="center" vertical="center"/>
      <protection locked="0"/>
    </xf>
    <xf numFmtId="0" fontId="0" fillId="4" borderId="4" xfId="0" applyFill="1" applyBorder="1" applyAlignment="1">
      <alignment horizontal="center"/>
    </xf>
    <xf numFmtId="0" fontId="0" fillId="4" borderId="5" xfId="0" applyFill="1" applyBorder="1" applyAlignment="1">
      <alignment horizontal="center"/>
    </xf>
    <xf numFmtId="43" fontId="0" fillId="4" borderId="8" xfId="0" applyNumberFormat="1" applyFill="1" applyBorder="1" applyAlignment="1">
      <alignment horizontal="left"/>
    </xf>
    <xf numFmtId="0" fontId="0" fillId="4" borderId="6" xfId="0" applyFill="1" applyBorder="1" applyAlignment="1">
      <alignment horizontal="center"/>
    </xf>
    <xf numFmtId="43" fontId="0" fillId="4" borderId="9" xfId="0" applyNumberFormat="1" applyFill="1" applyBorder="1" applyAlignment="1">
      <alignment horizontal="left"/>
    </xf>
    <xf numFmtId="14" fontId="30" fillId="4" borderId="1" xfId="0" applyNumberFormat="1" applyFont="1" applyFill="1" applyBorder="1" applyAlignment="1">
      <alignment horizontal="center" vertical="center"/>
    </xf>
    <xf numFmtId="0" fontId="30" fillId="4" borderId="1" xfId="0" applyFont="1" applyFill="1" applyBorder="1" applyAlignment="1">
      <alignment horizontal="center" vertical="center"/>
    </xf>
    <xf numFmtId="49" fontId="30" fillId="4" borderId="1" xfId="0" applyNumberFormat="1" applyFont="1" applyFill="1" applyBorder="1" applyAlignment="1">
      <alignment horizontal="center" vertical="center"/>
    </xf>
    <xf numFmtId="43" fontId="0" fillId="4" borderId="4" xfId="0" applyNumberFormat="1" applyFill="1" applyBorder="1" applyAlignment="1">
      <alignment horizontal="left"/>
    </xf>
    <xf numFmtId="43" fontId="0" fillId="4" borderId="5" xfId="0" applyNumberFormat="1" applyFill="1" applyBorder="1" applyAlignment="1">
      <alignment horizontal="left"/>
    </xf>
    <xf numFmtId="43" fontId="0" fillId="4" borderId="6" xfId="0" applyNumberFormat="1" applyFill="1" applyBorder="1" applyAlignment="1">
      <alignment horizontal="left"/>
    </xf>
    <xf numFmtId="2" fontId="0" fillId="4" borderId="1" xfId="0" applyNumberFormat="1" applyFill="1" applyBorder="1" applyAlignment="1">
      <alignment horizontal="center" vertical="center"/>
    </xf>
    <xf numFmtId="43" fontId="0" fillId="4" borderId="7" xfId="0" applyNumberFormat="1" applyFill="1" applyBorder="1"/>
    <xf numFmtId="43" fontId="0" fillId="4" borderId="8" xfId="0" applyNumberFormat="1" applyFill="1" applyBorder="1"/>
    <xf numFmtId="43" fontId="0" fillId="4" borderId="9" xfId="0" applyNumberFormat="1" applyFill="1" applyBorder="1"/>
    <xf numFmtId="165" fontId="5" fillId="4" borderId="6" xfId="0" applyNumberFormat="1" applyFont="1" applyFill="1" applyBorder="1" applyAlignment="1">
      <alignment horizontal="center" vertical="center"/>
    </xf>
    <xf numFmtId="9" fontId="5" fillId="4" borderId="1" xfId="0" applyNumberFormat="1" applyFont="1" applyFill="1" applyBorder="1" applyAlignment="1">
      <alignment horizontal="center" vertical="center"/>
    </xf>
    <xf numFmtId="3" fontId="0" fillId="4" borderId="6" xfId="0" applyNumberFormat="1" applyFill="1" applyBorder="1" applyAlignment="1">
      <alignment horizontal="center" vertical="center"/>
    </xf>
    <xf numFmtId="167" fontId="0" fillId="4" borderId="1" xfId="0" applyNumberFormat="1" applyFill="1" applyBorder="1" applyAlignment="1">
      <alignment horizontal="center" vertical="center"/>
    </xf>
    <xf numFmtId="9" fontId="0" fillId="4" borderId="1" xfId="0" applyNumberFormat="1" applyFill="1" applyBorder="1" applyAlignment="1">
      <alignment horizontal="center" vertical="center"/>
    </xf>
    <xf numFmtId="167" fontId="0" fillId="4" borderId="3" xfId="0" applyNumberFormat="1" applyFill="1" applyBorder="1" applyAlignment="1">
      <alignment horizontal="center" vertical="center"/>
    </xf>
    <xf numFmtId="9" fontId="0" fillId="4" borderId="1" xfId="1" applyFont="1" applyFill="1" applyBorder="1" applyAlignment="1" applyProtection="1">
      <alignment horizontal="center" vertical="center"/>
    </xf>
    <xf numFmtId="4" fontId="0" fillId="4" borderId="1" xfId="0" applyNumberFormat="1" applyFill="1" applyBorder="1" applyAlignment="1">
      <alignment horizontal="center" vertical="center"/>
    </xf>
    <xf numFmtId="0" fontId="0" fillId="4" borderId="1" xfId="0" applyFill="1" applyBorder="1" applyAlignment="1">
      <alignment horizontal="center" vertical="center"/>
    </xf>
    <xf numFmtId="9" fontId="0" fillId="2" borderId="1" xfId="1" applyFont="1" applyFill="1" applyBorder="1" applyAlignment="1" applyProtection="1">
      <alignment horizontal="center" vertical="center"/>
    </xf>
    <xf numFmtId="0" fontId="4" fillId="10" borderId="0" xfId="0" applyFont="1" applyFill="1" applyAlignment="1">
      <alignment horizontal="left" vertical="center"/>
    </xf>
    <xf numFmtId="0" fontId="34" fillId="10" borderId="0" xfId="4" applyFont="1" applyFill="1" applyAlignment="1" applyProtection="1">
      <alignment horizontal="right" vertical="center"/>
    </xf>
    <xf numFmtId="0" fontId="34" fillId="10" borderId="0" xfId="4" applyFont="1" applyFill="1" applyAlignment="1" applyProtection="1">
      <alignment horizontal="center" vertical="center" wrapText="1"/>
    </xf>
    <xf numFmtId="0" fontId="0" fillId="10" borderId="0" xfId="0" applyFill="1" applyAlignment="1">
      <alignment vertical="center"/>
    </xf>
    <xf numFmtId="0" fontId="25" fillId="10" borderId="0" xfId="0" applyFont="1" applyFill="1" applyAlignment="1">
      <alignment horizontal="center"/>
    </xf>
    <xf numFmtId="0" fontId="14" fillId="10" borderId="0" xfId="0" applyFont="1" applyFill="1" applyAlignment="1">
      <alignment vertical="center"/>
    </xf>
    <xf numFmtId="0" fontId="3" fillId="10" borderId="0" xfId="0" applyFont="1" applyFill="1" applyAlignment="1">
      <alignment horizontal="center" vertical="center"/>
    </xf>
    <xf numFmtId="49" fontId="3" fillId="10" borderId="0" xfId="0" applyNumberFormat="1" applyFont="1" applyFill="1" applyAlignment="1">
      <alignment horizontal="center" vertical="center"/>
    </xf>
    <xf numFmtId="9" fontId="0" fillId="7" borderId="1" xfId="0" applyNumberFormat="1" applyFill="1" applyBorder="1" applyAlignment="1">
      <alignment horizontal="center" vertical="center"/>
    </xf>
    <xf numFmtId="0" fontId="0" fillId="7" borderId="1" xfId="0" applyFill="1" applyBorder="1" applyAlignment="1">
      <alignment horizontal="center" vertical="center"/>
    </xf>
    <xf numFmtId="165" fontId="0" fillId="7" borderId="1" xfId="1" applyNumberFormat="1" applyFont="1" applyFill="1" applyBorder="1" applyAlignment="1" applyProtection="1">
      <alignment horizontal="center" vertical="center"/>
    </xf>
    <xf numFmtId="3" fontId="0" fillId="7" borderId="25" xfId="0" applyNumberFormat="1" applyFill="1" applyBorder="1" applyAlignment="1">
      <alignment horizontal="center" vertical="center"/>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9" fontId="0" fillId="7" borderId="4" xfId="0" applyNumberFormat="1" applyFill="1" applyBorder="1" applyAlignment="1">
      <alignment horizontal="center" vertical="center"/>
    </xf>
    <xf numFmtId="0" fontId="25" fillId="10" borderId="0" xfId="0" applyFont="1" applyFill="1" applyAlignment="1">
      <alignment horizontal="center" vertical="center"/>
    </xf>
    <xf numFmtId="3" fontId="0" fillId="2" borderId="25" xfId="0" applyNumberFormat="1" applyFill="1" applyBorder="1" applyAlignment="1">
      <alignment horizontal="center" vertical="center"/>
    </xf>
    <xf numFmtId="0" fontId="31" fillId="10" borderId="0" xfId="0" applyFont="1" applyFill="1" applyAlignment="1">
      <alignment vertical="center"/>
    </xf>
    <xf numFmtId="3" fontId="0" fillId="10" borderId="0" xfId="0" applyNumberFormat="1" applyFill="1" applyAlignment="1">
      <alignment vertical="center"/>
    </xf>
    <xf numFmtId="3" fontId="9" fillId="4" borderId="4" xfId="0" applyNumberFormat="1" applyFont="1" applyFill="1" applyBorder="1" applyAlignment="1">
      <alignment horizontal="center" vertical="center"/>
    </xf>
    <xf numFmtId="167" fontId="33" fillId="4" borderId="2" xfId="0" applyNumberFormat="1" applyFont="1" applyFill="1" applyBorder="1" applyAlignment="1">
      <alignment horizontal="center" vertical="center"/>
    </xf>
    <xf numFmtId="167" fontId="33" fillId="4" borderId="1" xfId="0" applyNumberFormat="1" applyFont="1" applyFill="1" applyBorder="1" applyAlignment="1">
      <alignment horizontal="center" vertical="center"/>
    </xf>
    <xf numFmtId="0" fontId="0" fillId="4" borderId="4" xfId="0" applyFill="1" applyBorder="1" applyAlignment="1">
      <alignment horizontal="center" vertical="center"/>
    </xf>
    <xf numFmtId="43" fontId="0" fillId="4" borderId="14" xfId="0" applyNumberFormat="1" applyFill="1" applyBorder="1" applyAlignment="1">
      <alignment horizontal="left" vertical="center"/>
    </xf>
    <xf numFmtId="0" fontId="0" fillId="4" borderId="5" xfId="0" applyFill="1" applyBorder="1" applyAlignment="1">
      <alignment horizontal="center" vertical="center"/>
    </xf>
    <xf numFmtId="43" fontId="0" fillId="4" borderId="0" xfId="0" applyNumberFormat="1" applyFill="1" applyAlignment="1">
      <alignment horizontal="left" vertical="center"/>
    </xf>
    <xf numFmtId="0" fontId="0" fillId="4" borderId="6" xfId="0" applyFill="1" applyBorder="1" applyAlignment="1">
      <alignment horizontal="center" vertical="center"/>
    </xf>
    <xf numFmtId="43" fontId="0" fillId="4" borderId="15" xfId="0" applyNumberFormat="1" applyFill="1" applyBorder="1" applyAlignment="1">
      <alignment horizontal="left" vertical="center"/>
    </xf>
    <xf numFmtId="3" fontId="0" fillId="4" borderId="4" xfId="0" applyNumberFormat="1" applyFill="1" applyBorder="1" applyAlignment="1">
      <alignment horizontal="center" vertical="center"/>
    </xf>
    <xf numFmtId="164" fontId="5" fillId="4" borderId="2" xfId="0" applyNumberFormat="1" applyFont="1" applyFill="1" applyBorder="1" applyAlignment="1">
      <alignment horizontal="center" vertical="center"/>
    </xf>
    <xf numFmtId="164" fontId="5" fillId="4" borderId="1" xfId="0" applyNumberFormat="1" applyFont="1" applyFill="1" applyBorder="1" applyAlignment="1">
      <alignment horizontal="center" vertical="center"/>
    </xf>
    <xf numFmtId="165" fontId="3" fillId="4" borderId="1" xfId="1" applyNumberFormat="1" applyFont="1" applyFill="1" applyBorder="1" applyAlignment="1" applyProtection="1">
      <alignment horizontal="center" vertical="center" wrapText="1"/>
    </xf>
    <xf numFmtId="0" fontId="13" fillId="2" borderId="0" xfId="0" applyFont="1" applyFill="1" applyAlignment="1">
      <alignment vertical="center" wrapText="1"/>
    </xf>
    <xf numFmtId="0" fontId="41" fillId="2" borderId="0" xfId="0" applyFont="1" applyFill="1" applyAlignment="1">
      <alignment vertical="center"/>
    </xf>
    <xf numFmtId="0" fontId="43" fillId="2" borderId="15" xfId="0" applyFont="1" applyFill="1" applyBorder="1" applyAlignment="1">
      <alignment horizontal="center" vertical="center"/>
    </xf>
    <xf numFmtId="0" fontId="45" fillId="2" borderId="0" xfId="0" applyFont="1" applyFill="1" applyAlignment="1">
      <alignment horizontal="center"/>
    </xf>
    <xf numFmtId="0" fontId="43" fillId="2" borderId="0" xfId="0" applyFont="1" applyFill="1" applyAlignment="1">
      <alignment horizontal="center" vertical="center"/>
    </xf>
    <xf numFmtId="0" fontId="47" fillId="2" borderId="1" xfId="0" applyFont="1" applyFill="1" applyBorder="1" applyAlignment="1">
      <alignment horizontal="center" vertical="center"/>
    </xf>
    <xf numFmtId="3" fontId="42" fillId="2" borderId="1" xfId="0" applyNumberFormat="1" applyFont="1" applyFill="1" applyBorder="1" applyAlignment="1">
      <alignment horizontal="right" vertical="center" indent="2"/>
    </xf>
    <xf numFmtId="3" fontId="42" fillId="2" borderId="0" xfId="0" applyNumberFormat="1" applyFont="1" applyFill="1" applyAlignment="1">
      <alignment horizontal="right" vertical="center" indent="2"/>
    </xf>
    <xf numFmtId="3" fontId="47" fillId="2" borderId="0" xfId="0" applyNumberFormat="1" applyFont="1" applyFill="1" applyAlignment="1">
      <alignment horizontal="right" vertical="center" indent="2"/>
    </xf>
    <xf numFmtId="3" fontId="48" fillId="2" borderId="0" xfId="0" applyNumberFormat="1" applyFont="1" applyFill="1" applyAlignment="1">
      <alignment horizontal="right" vertical="center" indent="2"/>
    </xf>
    <xf numFmtId="0" fontId="49" fillId="2" borderId="0" xfId="0" applyFont="1" applyFill="1" applyAlignment="1">
      <alignment horizontal="center"/>
    </xf>
    <xf numFmtId="0" fontId="47" fillId="2" borderId="0" xfId="0" applyFont="1" applyFill="1" applyAlignment="1">
      <alignment horizontal="center" vertical="center"/>
    </xf>
    <xf numFmtId="0" fontId="46" fillId="2" borderId="0" xfId="0" applyFont="1" applyFill="1" applyAlignment="1">
      <alignment horizontal="center" vertical="center"/>
    </xf>
    <xf numFmtId="168" fontId="0" fillId="2" borderId="0" xfId="12" applyNumberFormat="1" applyFont="1" applyFill="1"/>
    <xf numFmtId="0" fontId="3" fillId="2" borderId="4" xfId="0" applyFont="1" applyFill="1" applyBorder="1" applyAlignment="1">
      <alignment horizontal="center" vertical="center" wrapText="1"/>
    </xf>
    <xf numFmtId="9" fontId="3" fillId="12" borderId="1" xfId="1" applyFont="1" applyFill="1" applyBorder="1" applyAlignment="1">
      <alignment horizontal="center" vertical="center"/>
    </xf>
    <xf numFmtId="0" fontId="44" fillId="2" borderId="0" xfId="0" applyFont="1" applyFill="1" applyAlignment="1">
      <alignment horizontal="left" vertical="center"/>
    </xf>
    <xf numFmtId="0" fontId="44" fillId="2" borderId="22" xfId="0" applyFont="1" applyFill="1" applyBorder="1" applyAlignment="1">
      <alignment horizontal="left" vertical="center"/>
    </xf>
    <xf numFmtId="3" fontId="55" fillId="2" borderId="0" xfId="0" applyNumberFormat="1" applyFont="1" applyFill="1" applyAlignment="1">
      <alignment horizontal="right" vertical="center" indent="2"/>
    </xf>
    <xf numFmtId="0" fontId="3" fillId="2" borderId="3" xfId="0" applyFont="1" applyFill="1" applyBorder="1" applyAlignment="1">
      <alignment horizontal="center" vertical="center"/>
    </xf>
    <xf numFmtId="0" fontId="3" fillId="5" borderId="1"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18" fillId="14" borderId="1"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6" xfId="0" applyFont="1" applyFill="1" applyBorder="1" applyAlignment="1">
      <alignment horizontal="center" vertical="center" wrapText="1"/>
    </xf>
    <xf numFmtId="3" fontId="47" fillId="5" borderId="1" xfId="0" applyNumberFormat="1" applyFont="1" applyFill="1" applyBorder="1" applyAlignment="1">
      <alignment horizontal="right" vertical="center" indent="2"/>
    </xf>
    <xf numFmtId="3" fontId="47" fillId="6" borderId="4" xfId="0" applyNumberFormat="1" applyFont="1" applyFill="1" applyBorder="1" applyAlignment="1">
      <alignment horizontal="right" vertical="center" indent="2"/>
    </xf>
    <xf numFmtId="3" fontId="47" fillId="3" borderId="1" xfId="0" applyNumberFormat="1" applyFont="1" applyFill="1" applyBorder="1" applyAlignment="1">
      <alignment horizontal="right" vertical="center" indent="2"/>
    </xf>
    <xf numFmtId="3" fontId="47" fillId="7" borderId="1" xfId="0" applyNumberFormat="1" applyFont="1" applyFill="1" applyBorder="1" applyAlignment="1">
      <alignment horizontal="right" vertical="center" indent="2"/>
    </xf>
    <xf numFmtId="3" fontId="47" fillId="17" borderId="1" xfId="0" applyNumberFormat="1" applyFont="1" applyFill="1" applyBorder="1" applyAlignment="1">
      <alignment horizontal="right" vertical="center" indent="2"/>
    </xf>
    <xf numFmtId="3" fontId="47" fillId="13" borderId="1" xfId="0" applyNumberFormat="1" applyFont="1" applyFill="1" applyBorder="1" applyAlignment="1">
      <alignment horizontal="right" vertical="center" indent="2"/>
    </xf>
    <xf numFmtId="0" fontId="3" fillId="7" borderId="4" xfId="0" applyFont="1" applyFill="1" applyBorder="1" applyAlignment="1">
      <alignment horizontal="center" vertical="center" wrapText="1"/>
    </xf>
    <xf numFmtId="0" fontId="3" fillId="19" borderId="4" xfId="0" applyFont="1" applyFill="1" applyBorder="1" applyAlignment="1">
      <alignment horizontal="center" vertical="center" wrapText="1"/>
    </xf>
    <xf numFmtId="0" fontId="3" fillId="19" borderId="1" xfId="0" applyFont="1" applyFill="1" applyBorder="1" applyAlignment="1">
      <alignment horizontal="center" vertical="center"/>
    </xf>
    <xf numFmtId="0" fontId="3" fillId="19" borderId="6" xfId="0" applyFont="1" applyFill="1" applyBorder="1" applyAlignment="1">
      <alignment horizontal="center" vertical="center"/>
    </xf>
    <xf numFmtId="0" fontId="3" fillId="19" borderId="6" xfId="0" applyFont="1" applyFill="1" applyBorder="1" applyAlignment="1">
      <alignment horizontal="center" vertical="center" wrapText="1"/>
    </xf>
    <xf numFmtId="0" fontId="3" fillId="19" borderId="1" xfId="0" applyFont="1" applyFill="1" applyBorder="1" applyAlignment="1">
      <alignment horizontal="center" vertical="center" wrapText="1"/>
    </xf>
    <xf numFmtId="0" fontId="6" fillId="19" borderId="1" xfId="0" applyFont="1" applyFill="1" applyBorder="1" applyAlignment="1">
      <alignment horizontal="center" vertical="center" wrapText="1"/>
    </xf>
    <xf numFmtId="0" fontId="11" fillId="19" borderId="2" xfId="4" applyFill="1" applyBorder="1" applyAlignment="1">
      <alignment horizontal="left" vertical="center" wrapText="1" indent="1"/>
    </xf>
    <xf numFmtId="0" fontId="11" fillId="19" borderId="2" xfId="4" applyFill="1" applyBorder="1" applyAlignment="1">
      <alignment horizontal="left" vertical="center" indent="1"/>
    </xf>
    <xf numFmtId="0" fontId="3" fillId="19" borderId="10" xfId="0" applyFont="1" applyFill="1" applyBorder="1" applyAlignment="1">
      <alignment horizontal="center" vertical="center" wrapText="1"/>
    </xf>
    <xf numFmtId="3" fontId="47" fillId="19" borderId="1" xfId="0" applyNumberFormat="1" applyFont="1" applyFill="1" applyBorder="1" applyAlignment="1">
      <alignment horizontal="right" vertical="center" indent="2"/>
    </xf>
    <xf numFmtId="0" fontId="20" fillId="19" borderId="0" xfId="0" applyFont="1" applyFill="1" applyAlignment="1">
      <alignment vertical="center"/>
    </xf>
    <xf numFmtId="0" fontId="0" fillId="19" borderId="0" xfId="0" applyFill="1" applyAlignment="1">
      <alignment vertical="center"/>
    </xf>
    <xf numFmtId="3" fontId="3" fillId="19" borderId="20" xfId="0" applyNumberFormat="1" applyFont="1" applyFill="1" applyBorder="1" applyAlignment="1">
      <alignment horizontal="center" vertical="center"/>
    </xf>
    <xf numFmtId="0" fontId="7" fillId="8" borderId="1" xfId="0" applyFont="1" applyFill="1" applyBorder="1" applyAlignment="1" applyProtection="1">
      <alignment horizontal="center" vertical="center" wrapText="1"/>
      <protection locked="0"/>
    </xf>
    <xf numFmtId="0" fontId="3" fillId="2" borderId="0" xfId="0" applyFont="1" applyFill="1" applyAlignment="1">
      <alignment vertical="center" wrapText="1"/>
    </xf>
    <xf numFmtId="0" fontId="57" fillId="2" borderId="0" xfId="0" applyFont="1" applyFill="1" applyAlignment="1">
      <alignment horizontal="center"/>
    </xf>
    <xf numFmtId="43" fontId="0" fillId="4" borderId="14" xfId="0" applyNumberFormat="1" applyFill="1" applyBorder="1" applyAlignment="1">
      <alignment horizontal="left"/>
    </xf>
    <xf numFmtId="43" fontId="0" fillId="4" borderId="0" xfId="0" applyNumberFormat="1" applyFill="1" applyAlignment="1">
      <alignment horizontal="left"/>
    </xf>
    <xf numFmtId="43" fontId="0" fillId="4" borderId="15" xfId="0" applyNumberFormat="1" applyFill="1" applyBorder="1" applyAlignment="1">
      <alignment horizontal="left"/>
    </xf>
    <xf numFmtId="0" fontId="57" fillId="2" borderId="0" xfId="0" applyFont="1" applyFill="1" applyAlignment="1">
      <alignment horizontal="center" wrapText="1"/>
    </xf>
    <xf numFmtId="0" fontId="0" fillId="10" borderId="0" xfId="0" applyFill="1" applyAlignment="1">
      <alignment horizontal="left" vertical="center" indent="1"/>
    </xf>
    <xf numFmtId="4" fontId="0" fillId="8" borderId="7" xfId="0" applyNumberFormat="1" applyFill="1" applyBorder="1" applyAlignment="1" applyProtection="1">
      <alignment horizontal="right" indent="1"/>
      <protection locked="0"/>
    </xf>
    <xf numFmtId="3" fontId="0" fillId="8" borderId="8" xfId="0" applyNumberFormat="1" applyFill="1" applyBorder="1" applyAlignment="1" applyProtection="1">
      <alignment horizontal="right" indent="1"/>
      <protection locked="0"/>
    </xf>
    <xf numFmtId="3" fontId="0" fillId="8" borderId="5" xfId="0" applyNumberFormat="1" applyFill="1" applyBorder="1" applyAlignment="1" applyProtection="1">
      <alignment horizontal="right" indent="1"/>
      <protection locked="0"/>
    </xf>
    <xf numFmtId="3" fontId="0" fillId="2" borderId="5" xfId="0" applyNumberFormat="1" applyFill="1" applyBorder="1" applyAlignment="1">
      <alignment horizontal="right" indent="1"/>
    </xf>
    <xf numFmtId="165" fontId="0" fillId="4" borderId="5" xfId="0" applyNumberFormat="1" applyFill="1" applyBorder="1" applyAlignment="1">
      <alignment horizontal="right" indent="1"/>
    </xf>
    <xf numFmtId="4" fontId="0" fillId="8" borderId="8" xfId="0" applyNumberFormat="1" applyFill="1" applyBorder="1" applyAlignment="1" applyProtection="1">
      <alignment horizontal="right" indent="1"/>
      <protection locked="0"/>
    </xf>
    <xf numFmtId="4" fontId="0" fillId="8" borderId="9" xfId="0" applyNumberFormat="1" applyFill="1" applyBorder="1" applyAlignment="1" applyProtection="1">
      <alignment horizontal="right" indent="1"/>
      <protection locked="0"/>
    </xf>
    <xf numFmtId="3" fontId="0" fillId="4" borderId="4" xfId="0" applyNumberFormat="1" applyFill="1" applyBorder="1" applyAlignment="1">
      <alignment horizontal="right" indent="1"/>
    </xf>
    <xf numFmtId="166" fontId="0" fillId="4" borderId="4" xfId="0" applyNumberFormat="1" applyFill="1" applyBorder="1" applyAlignment="1">
      <alignment horizontal="right" indent="1"/>
    </xf>
    <xf numFmtId="4" fontId="0" fillId="4" borderId="7" xfId="0" applyNumberFormat="1" applyFill="1" applyBorder="1" applyAlignment="1">
      <alignment horizontal="right" indent="1"/>
    </xf>
    <xf numFmtId="3" fontId="0" fillId="4" borderId="7" xfId="0" applyNumberFormat="1" applyFill="1" applyBorder="1" applyAlignment="1">
      <alignment horizontal="right" indent="1"/>
    </xf>
    <xf numFmtId="0" fontId="0" fillId="2" borderId="0" xfId="0" applyFill="1" applyAlignment="1">
      <alignment horizontal="right" indent="1"/>
    </xf>
    <xf numFmtId="3" fontId="0" fillId="2" borderId="4" xfId="0" applyNumberFormat="1" applyFill="1" applyBorder="1" applyAlignment="1">
      <alignment horizontal="right" indent="1"/>
    </xf>
    <xf numFmtId="3" fontId="0" fillId="2" borderId="7" xfId="0" applyNumberFormat="1" applyFill="1" applyBorder="1" applyAlignment="1">
      <alignment horizontal="right" indent="1"/>
    </xf>
    <xf numFmtId="3" fontId="0" fillId="5" borderId="7" xfId="0" applyNumberFormat="1" applyFill="1" applyBorder="1" applyAlignment="1">
      <alignment horizontal="right" indent="1"/>
    </xf>
    <xf numFmtId="165" fontId="0" fillId="2" borderId="4" xfId="1" applyNumberFormat="1" applyFont="1" applyFill="1" applyBorder="1" applyAlignment="1" applyProtection="1">
      <alignment horizontal="right" indent="1"/>
    </xf>
    <xf numFmtId="3" fontId="0" fillId="4" borderId="5" xfId="0" applyNumberFormat="1" applyFill="1" applyBorder="1" applyAlignment="1">
      <alignment horizontal="right" indent="1"/>
    </xf>
    <xf numFmtId="166" fontId="0" fillId="4" borderId="5" xfId="0" applyNumberFormat="1" applyFill="1" applyBorder="1" applyAlignment="1">
      <alignment horizontal="right" indent="1"/>
    </xf>
    <xf numFmtId="4" fontId="0" fillId="4" borderId="8" xfId="0" applyNumberFormat="1" applyFill="1" applyBorder="1" applyAlignment="1">
      <alignment horizontal="right" indent="1"/>
    </xf>
    <xf numFmtId="3" fontId="0" fillId="4" borderId="8" xfId="0" applyNumberFormat="1" applyFill="1" applyBorder="1" applyAlignment="1">
      <alignment horizontal="right" indent="1"/>
    </xf>
    <xf numFmtId="3" fontId="0" fillId="2" borderId="8" xfId="0" applyNumberFormat="1" applyFill="1" applyBorder="1" applyAlignment="1">
      <alignment horizontal="right" indent="1"/>
    </xf>
    <xf numFmtId="3" fontId="0" fillId="5" borderId="8" xfId="0" applyNumberFormat="1" applyFill="1" applyBorder="1" applyAlignment="1">
      <alignment horizontal="right" indent="1"/>
    </xf>
    <xf numFmtId="165" fontId="0" fillId="2" borderId="5" xfId="1" applyNumberFormat="1" applyFont="1" applyFill="1" applyBorder="1" applyAlignment="1" applyProtection="1">
      <alignment horizontal="right" indent="1"/>
    </xf>
    <xf numFmtId="166" fontId="0" fillId="4" borderId="6" xfId="0" applyNumberFormat="1" applyFill="1" applyBorder="1" applyAlignment="1">
      <alignment horizontal="right" indent="1"/>
    </xf>
    <xf numFmtId="4" fontId="0" fillId="4" borderId="9" xfId="0" applyNumberFormat="1" applyFill="1" applyBorder="1" applyAlignment="1">
      <alignment horizontal="right" indent="1"/>
    </xf>
    <xf numFmtId="3" fontId="0" fillId="2" borderId="6" xfId="0" applyNumberFormat="1" applyFill="1" applyBorder="1" applyAlignment="1">
      <alignment horizontal="right" indent="1"/>
    </xf>
    <xf numFmtId="3" fontId="0" fillId="2" borderId="9" xfId="0" applyNumberFormat="1" applyFill="1" applyBorder="1" applyAlignment="1">
      <alignment horizontal="right" indent="1"/>
    </xf>
    <xf numFmtId="3" fontId="0" fillId="5" borderId="9" xfId="0" applyNumberFormat="1" applyFill="1" applyBorder="1" applyAlignment="1">
      <alignment horizontal="right" indent="1"/>
    </xf>
    <xf numFmtId="165" fontId="0" fillId="2" borderId="6" xfId="1" applyNumberFormat="1" applyFont="1" applyFill="1" applyBorder="1" applyAlignment="1" applyProtection="1">
      <alignment horizontal="right" indent="1"/>
    </xf>
    <xf numFmtId="3" fontId="0" fillId="2" borderId="1" xfId="0" applyNumberFormat="1" applyFill="1" applyBorder="1" applyAlignment="1">
      <alignment horizontal="right" indent="1"/>
    </xf>
    <xf numFmtId="3" fontId="0" fillId="5" borderId="6" xfId="0" applyNumberFormat="1" applyFill="1" applyBorder="1" applyAlignment="1">
      <alignment horizontal="right" indent="1"/>
    </xf>
    <xf numFmtId="165" fontId="1" fillId="2" borderId="1" xfId="1" applyNumberFormat="1" applyFont="1" applyFill="1" applyBorder="1" applyAlignment="1" applyProtection="1">
      <alignment horizontal="right" indent="1"/>
    </xf>
    <xf numFmtId="3" fontId="0" fillId="2" borderId="0" xfId="0" applyNumberFormat="1" applyFill="1" applyAlignment="1">
      <alignment horizontal="right" indent="1"/>
    </xf>
    <xf numFmtId="3" fontId="0" fillId="2" borderId="4" xfId="0" quotePrefix="1" applyNumberFormat="1" applyFill="1" applyBorder="1" applyAlignment="1">
      <alignment horizontal="right" indent="1"/>
    </xf>
    <xf numFmtId="3" fontId="0" fillId="2" borderId="14" xfId="0" applyNumberFormat="1" applyFill="1" applyBorder="1" applyAlignment="1">
      <alignment horizontal="right" indent="1"/>
    </xf>
    <xf numFmtId="3" fontId="0" fillId="5" borderId="4" xfId="0" applyNumberFormat="1" applyFill="1" applyBorder="1" applyAlignment="1">
      <alignment horizontal="right" indent="1"/>
    </xf>
    <xf numFmtId="3" fontId="0" fillId="2" borderId="10" xfId="0" applyNumberFormat="1" applyFill="1" applyBorder="1" applyAlignment="1">
      <alignment horizontal="right" indent="1"/>
    </xf>
    <xf numFmtId="3" fontId="0" fillId="4" borderId="10" xfId="0" applyNumberFormat="1" applyFill="1" applyBorder="1" applyAlignment="1">
      <alignment horizontal="right" indent="1"/>
    </xf>
    <xf numFmtId="3" fontId="0" fillId="2" borderId="5" xfId="0" quotePrefix="1" applyNumberFormat="1" applyFill="1" applyBorder="1" applyAlignment="1">
      <alignment horizontal="right" indent="1"/>
    </xf>
    <xf numFmtId="3" fontId="0" fillId="5" borderId="5" xfId="0" applyNumberFormat="1" applyFill="1" applyBorder="1" applyAlignment="1">
      <alignment horizontal="right" indent="1"/>
    </xf>
    <xf numFmtId="3" fontId="0" fillId="2" borderId="11" xfId="0" applyNumberFormat="1" applyFill="1" applyBorder="1" applyAlignment="1">
      <alignment horizontal="right" indent="1"/>
    </xf>
    <xf numFmtId="3" fontId="0" fillId="4" borderId="11" xfId="0" applyNumberFormat="1" applyFill="1" applyBorder="1" applyAlignment="1">
      <alignment horizontal="right" indent="1"/>
    </xf>
    <xf numFmtId="3" fontId="0" fillId="4" borderId="9" xfId="0" applyNumberFormat="1" applyFill="1" applyBorder="1" applyAlignment="1">
      <alignment horizontal="right" indent="1"/>
    </xf>
    <xf numFmtId="3" fontId="0" fillId="4" borderId="6" xfId="0" applyNumberFormat="1" applyFill="1" applyBorder="1" applyAlignment="1">
      <alignment horizontal="right" indent="1"/>
    </xf>
    <xf numFmtId="3" fontId="0" fillId="2" borderId="6" xfId="0" quotePrefix="1" applyNumberFormat="1" applyFill="1" applyBorder="1" applyAlignment="1">
      <alignment horizontal="right" indent="1"/>
    </xf>
    <xf numFmtId="3" fontId="0" fillId="2" borderId="15" xfId="0" applyNumberFormat="1" applyFill="1" applyBorder="1" applyAlignment="1">
      <alignment horizontal="right" indent="1"/>
    </xf>
    <xf numFmtId="3" fontId="0" fillId="2" borderId="12" xfId="0" applyNumberFormat="1" applyFill="1" applyBorder="1" applyAlignment="1">
      <alignment horizontal="right" indent="1"/>
    </xf>
    <xf numFmtId="3" fontId="0" fillId="5" borderId="1" xfId="0" applyNumberFormat="1" applyFill="1" applyBorder="1" applyAlignment="1">
      <alignment horizontal="right" indent="1"/>
    </xf>
    <xf numFmtId="9" fontId="0" fillId="2" borderId="1" xfId="1" applyFont="1" applyFill="1" applyBorder="1" applyAlignment="1" applyProtection="1">
      <alignment horizontal="right" indent="1"/>
    </xf>
    <xf numFmtId="4" fontId="0" fillId="2" borderId="7" xfId="0" applyNumberFormat="1" applyFill="1" applyBorder="1" applyAlignment="1">
      <alignment horizontal="right" indent="1"/>
    </xf>
    <xf numFmtId="3" fontId="0" fillId="9" borderId="4" xfId="0" applyNumberFormat="1" applyFill="1" applyBorder="1" applyAlignment="1">
      <alignment horizontal="right" indent="1"/>
    </xf>
    <xf numFmtId="3" fontId="0" fillId="4" borderId="0" xfId="0" applyNumberFormat="1" applyFill="1" applyAlignment="1">
      <alignment horizontal="right" indent="1"/>
    </xf>
    <xf numFmtId="4" fontId="0" fillId="2" borderId="14" xfId="0" applyNumberFormat="1" applyFill="1" applyBorder="1" applyAlignment="1">
      <alignment horizontal="right" indent="1"/>
    </xf>
    <xf numFmtId="4" fontId="0" fillId="2" borderId="8" xfId="0" applyNumberFormat="1" applyFill="1" applyBorder="1" applyAlignment="1">
      <alignment horizontal="right" indent="1"/>
    </xf>
    <xf numFmtId="3" fontId="0" fillId="9" borderId="5" xfId="0" applyNumberFormat="1" applyFill="1" applyBorder="1" applyAlignment="1">
      <alignment horizontal="right" indent="1"/>
    </xf>
    <xf numFmtId="4" fontId="0" fillId="2" borderId="0" xfId="0" applyNumberFormat="1" applyFill="1" applyAlignment="1">
      <alignment horizontal="right" indent="1"/>
    </xf>
    <xf numFmtId="4" fontId="0" fillId="2" borderId="9" xfId="0" applyNumberFormat="1" applyFill="1" applyBorder="1" applyAlignment="1">
      <alignment horizontal="right" indent="1"/>
    </xf>
    <xf numFmtId="3" fontId="0" fillId="9" borderId="6" xfId="0" applyNumberFormat="1" applyFill="1" applyBorder="1" applyAlignment="1">
      <alignment horizontal="right" indent="1"/>
    </xf>
    <xf numFmtId="3" fontId="0" fillId="4" borderId="12" xfId="0" applyNumberFormat="1" applyFill="1" applyBorder="1" applyAlignment="1">
      <alignment horizontal="right" indent="1"/>
    </xf>
    <xf numFmtId="4" fontId="0" fillId="2" borderId="15" xfId="0" applyNumberFormat="1" applyFill="1" applyBorder="1" applyAlignment="1">
      <alignment horizontal="right" indent="1"/>
    </xf>
    <xf numFmtId="3" fontId="0" fillId="4" borderId="1" xfId="0" applyNumberFormat="1" applyFill="1" applyBorder="1" applyAlignment="1">
      <alignment horizontal="right" indent="1"/>
    </xf>
    <xf numFmtId="3" fontId="0" fillId="2" borderId="2" xfId="0" applyNumberFormat="1" applyFill="1" applyBorder="1" applyAlignment="1">
      <alignment horizontal="right" indent="1"/>
    </xf>
    <xf numFmtId="3" fontId="0" fillId="2" borderId="6" xfId="1" applyNumberFormat="1" applyFont="1" applyFill="1" applyBorder="1" applyAlignment="1" applyProtection="1">
      <alignment horizontal="right" indent="1"/>
    </xf>
    <xf numFmtId="4" fontId="0" fillId="2" borderId="1" xfId="0" applyNumberFormat="1" applyFill="1" applyBorder="1" applyAlignment="1">
      <alignment horizontal="right" indent="1"/>
    </xf>
    <xf numFmtId="3" fontId="0" fillId="4" borderId="4" xfId="0" applyNumberFormat="1" applyFill="1" applyBorder="1" applyAlignment="1">
      <alignment horizontal="right" vertical="center" indent="1"/>
    </xf>
    <xf numFmtId="3" fontId="0" fillId="2" borderId="10" xfId="0" applyNumberFormat="1" applyFill="1" applyBorder="1" applyAlignment="1">
      <alignment horizontal="right" vertical="center" indent="1"/>
    </xf>
    <xf numFmtId="3" fontId="0" fillId="2" borderId="4" xfId="0" applyNumberFormat="1" applyFill="1" applyBorder="1" applyAlignment="1">
      <alignment horizontal="right" vertical="center" indent="1"/>
    </xf>
    <xf numFmtId="3" fontId="0" fillId="2" borderId="14" xfId="0" applyNumberFormat="1" applyFill="1" applyBorder="1" applyAlignment="1">
      <alignment horizontal="right" vertical="center" indent="1"/>
    </xf>
    <xf numFmtId="3" fontId="0" fillId="2" borderId="7" xfId="0" applyNumberFormat="1" applyFill="1" applyBorder="1" applyAlignment="1">
      <alignment horizontal="right" vertical="center" indent="1"/>
    </xf>
    <xf numFmtId="3" fontId="0" fillId="2" borderId="0" xfId="0" applyNumberFormat="1" applyFill="1" applyAlignment="1">
      <alignment horizontal="right" vertical="center" indent="1"/>
    </xf>
    <xf numFmtId="3" fontId="0" fillId="2" borderId="11" xfId="0" applyNumberFormat="1" applyFill="1" applyBorder="1" applyAlignment="1">
      <alignment horizontal="right" vertical="center" indent="1"/>
    </xf>
    <xf numFmtId="3" fontId="0" fillId="3" borderId="7" xfId="0" applyNumberFormat="1" applyFill="1" applyBorder="1" applyAlignment="1">
      <alignment horizontal="right" vertical="center" indent="1"/>
    </xf>
    <xf numFmtId="3" fontId="0" fillId="4" borderId="10" xfId="0" applyNumberFormat="1" applyFill="1" applyBorder="1" applyAlignment="1">
      <alignment horizontal="right" vertical="center" indent="1"/>
    </xf>
    <xf numFmtId="3" fontId="0" fillId="3" borderId="4" xfId="0" applyNumberFormat="1" applyFill="1" applyBorder="1" applyAlignment="1">
      <alignment horizontal="right" vertical="center" indent="1"/>
    </xf>
    <xf numFmtId="3" fontId="0" fillId="4" borderId="5" xfId="0" applyNumberFormat="1" applyFill="1" applyBorder="1" applyAlignment="1">
      <alignment horizontal="right" vertical="center" indent="1"/>
    </xf>
    <xf numFmtId="3" fontId="0" fillId="2" borderId="5" xfId="0" applyNumberFormat="1" applyFill="1" applyBorder="1" applyAlignment="1">
      <alignment horizontal="right" vertical="center" indent="1"/>
    </xf>
    <xf numFmtId="3" fontId="0" fillId="2" borderId="8" xfId="0" applyNumberFormat="1" applyFill="1" applyBorder="1" applyAlignment="1">
      <alignment horizontal="right" vertical="center" indent="1"/>
    </xf>
    <xf numFmtId="3" fontId="0" fillId="3" borderId="8" xfId="0" applyNumberFormat="1" applyFill="1" applyBorder="1" applyAlignment="1">
      <alignment horizontal="right" vertical="center" indent="1"/>
    </xf>
    <xf numFmtId="3" fontId="0" fillId="4" borderId="11" xfId="0" applyNumberFormat="1" applyFill="1" applyBorder="1" applyAlignment="1">
      <alignment horizontal="right" vertical="center" indent="1"/>
    </xf>
    <xf numFmtId="3" fontId="0" fillId="3" borderId="5" xfId="0" applyNumberFormat="1" applyFill="1" applyBorder="1" applyAlignment="1">
      <alignment horizontal="right" vertical="center" indent="1"/>
    </xf>
    <xf numFmtId="3" fontId="0" fillId="4" borderId="6" xfId="0" applyNumberFormat="1" applyFill="1" applyBorder="1" applyAlignment="1">
      <alignment horizontal="right" vertical="center" indent="1"/>
    </xf>
    <xf numFmtId="3" fontId="0" fillId="2" borderId="12" xfId="0" applyNumberFormat="1" applyFill="1" applyBorder="1" applyAlignment="1">
      <alignment horizontal="right" vertical="center" indent="1"/>
    </xf>
    <xf numFmtId="3" fontId="0" fillId="2" borderId="6" xfId="0" applyNumberFormat="1" applyFill="1" applyBorder="1" applyAlignment="1">
      <alignment horizontal="right" vertical="center" indent="1"/>
    </xf>
    <xf numFmtId="3" fontId="0" fillId="2" borderId="15" xfId="0" applyNumberFormat="1" applyFill="1" applyBorder="1" applyAlignment="1">
      <alignment horizontal="right" vertical="center" indent="1"/>
    </xf>
    <xf numFmtId="3" fontId="0" fillId="2" borderId="9" xfId="0" applyNumberFormat="1" applyFill="1" applyBorder="1" applyAlignment="1">
      <alignment horizontal="right" vertical="center" indent="1"/>
    </xf>
    <xf numFmtId="3" fontId="0" fillId="3" borderId="9" xfId="0" applyNumberFormat="1" applyFill="1" applyBorder="1" applyAlignment="1">
      <alignment horizontal="right" vertical="center" indent="1"/>
    </xf>
    <xf numFmtId="3" fontId="0" fillId="4" borderId="12" xfId="0" applyNumberFormat="1" applyFill="1" applyBorder="1" applyAlignment="1">
      <alignment horizontal="right" vertical="center" indent="1"/>
    </xf>
    <xf numFmtId="3" fontId="0" fillId="3" borderId="6" xfId="0" applyNumberFormat="1" applyFill="1" applyBorder="1" applyAlignment="1">
      <alignment horizontal="right" vertical="center" indent="1"/>
    </xf>
    <xf numFmtId="3" fontId="0" fillId="2" borderId="1" xfId="0" applyNumberFormat="1" applyFill="1" applyBorder="1" applyAlignment="1">
      <alignment horizontal="right" vertical="center" indent="1"/>
    </xf>
    <xf numFmtId="0" fontId="0" fillId="2" borderId="0" xfId="0" applyFill="1" applyAlignment="1">
      <alignment horizontal="right" vertical="center" indent="1"/>
    </xf>
    <xf numFmtId="0" fontId="0" fillId="3" borderId="6" xfId="0" applyFill="1" applyBorder="1" applyAlignment="1">
      <alignment horizontal="right" vertical="center" indent="1"/>
    </xf>
    <xf numFmtId="3" fontId="0" fillId="4" borderId="14" xfId="0" applyNumberFormat="1" applyFill="1" applyBorder="1" applyAlignment="1">
      <alignment horizontal="right" vertical="center" indent="1"/>
    </xf>
    <xf numFmtId="3" fontId="0" fillId="19" borderId="4" xfId="0" applyNumberFormat="1" applyFill="1" applyBorder="1" applyAlignment="1">
      <alignment horizontal="right" vertical="center" indent="1"/>
    </xf>
    <xf numFmtId="3" fontId="0" fillId="4" borderId="0" xfId="0" applyNumberFormat="1" applyFill="1" applyAlignment="1">
      <alignment horizontal="right" vertical="center" indent="1"/>
    </xf>
    <xf numFmtId="3" fontId="0" fillId="19" borderId="5" xfId="0" applyNumberFormat="1" applyFill="1" applyBorder="1" applyAlignment="1">
      <alignment horizontal="right" vertical="center" indent="1"/>
    </xf>
    <xf numFmtId="3" fontId="0" fillId="4" borderId="15" xfId="0" applyNumberFormat="1" applyFill="1" applyBorder="1" applyAlignment="1">
      <alignment horizontal="right" vertical="center" indent="1"/>
    </xf>
    <xf numFmtId="3" fontId="0" fillId="19" borderId="6" xfId="0" applyNumberFormat="1" applyFill="1" applyBorder="1" applyAlignment="1">
      <alignment horizontal="right" vertical="center" indent="1"/>
    </xf>
    <xf numFmtId="3" fontId="0" fillId="2" borderId="2" xfId="0" applyNumberFormat="1" applyFill="1" applyBorder="1" applyAlignment="1">
      <alignment horizontal="right" vertical="center" indent="1"/>
    </xf>
    <xf numFmtId="0" fontId="0" fillId="2" borderId="1" xfId="0" applyFill="1" applyBorder="1" applyAlignment="1">
      <alignment horizontal="right" vertical="center" indent="1"/>
    </xf>
    <xf numFmtId="3" fontId="0" fillId="2" borderId="3" xfId="0" applyNumberFormat="1" applyFill="1" applyBorder="1" applyAlignment="1">
      <alignment horizontal="right" vertical="center" indent="1"/>
    </xf>
    <xf numFmtId="3" fontId="0" fillId="4" borderId="7" xfId="0" applyNumberFormat="1" applyFill="1" applyBorder="1" applyAlignment="1">
      <alignment horizontal="right" vertical="center" indent="1"/>
    </xf>
    <xf numFmtId="3" fontId="0" fillId="7" borderId="4" xfId="0" applyNumberFormat="1" applyFill="1" applyBorder="1" applyAlignment="1">
      <alignment horizontal="right" vertical="center" indent="1"/>
    </xf>
    <xf numFmtId="3" fontId="0" fillId="4" borderId="8" xfId="0" applyNumberFormat="1" applyFill="1" applyBorder="1" applyAlignment="1">
      <alignment horizontal="right" vertical="center" indent="1"/>
    </xf>
    <xf numFmtId="3" fontId="0" fillId="7" borderId="5" xfId="0" applyNumberFormat="1" applyFill="1" applyBorder="1" applyAlignment="1">
      <alignment horizontal="right" vertical="center" indent="1"/>
    </xf>
    <xf numFmtId="3" fontId="0" fillId="4" borderId="9" xfId="0" applyNumberFormat="1" applyFill="1" applyBorder="1" applyAlignment="1">
      <alignment horizontal="right" vertical="center" indent="1"/>
    </xf>
    <xf numFmtId="3" fontId="0" fillId="7" borderId="6" xfId="0" applyNumberFormat="1" applyFill="1" applyBorder="1" applyAlignment="1">
      <alignment horizontal="right" vertical="center" indent="1"/>
    </xf>
    <xf numFmtId="3" fontId="0" fillId="2" borderId="13" xfId="0" applyNumberFormat="1" applyFill="1" applyBorder="1" applyAlignment="1">
      <alignment horizontal="right" vertical="center" indent="1"/>
    </xf>
    <xf numFmtId="3" fontId="58" fillId="2" borderId="0" xfId="0" applyNumberFormat="1" applyFont="1" applyFill="1" applyAlignment="1">
      <alignment horizontal="right" indent="1"/>
    </xf>
    <xf numFmtId="0" fontId="51" fillId="2" borderId="0" xfId="0" quotePrefix="1" applyFont="1" applyFill="1" applyAlignment="1">
      <alignment vertical="center"/>
    </xf>
    <xf numFmtId="0" fontId="50" fillId="2" borderId="0" xfId="0" applyFont="1" applyFill="1" applyAlignment="1">
      <alignment vertical="center"/>
    </xf>
    <xf numFmtId="166" fontId="34" fillId="2" borderId="0" xfId="4" applyNumberFormat="1" applyFont="1" applyFill="1" applyBorder="1" applyAlignment="1" applyProtection="1">
      <alignment horizontal="center" vertical="center" wrapText="1"/>
    </xf>
    <xf numFmtId="0" fontId="41" fillId="2" borderId="2" xfId="0" applyFont="1" applyFill="1" applyBorder="1" applyAlignment="1">
      <alignment horizontal="left" vertical="center"/>
    </xf>
    <xf numFmtId="0" fontId="41" fillId="2" borderId="13" xfId="0" applyFont="1" applyFill="1" applyBorder="1" applyAlignment="1">
      <alignment horizontal="left" vertical="center"/>
    </xf>
    <xf numFmtId="0" fontId="41" fillId="2" borderId="3" xfId="0" applyFont="1" applyFill="1" applyBorder="1" applyAlignment="1">
      <alignment horizontal="left" vertical="center"/>
    </xf>
    <xf numFmtId="166" fontId="34" fillId="2" borderId="0" xfId="4" applyNumberFormat="1" applyFont="1" applyFill="1" applyBorder="1" applyAlignment="1" applyProtection="1">
      <alignment vertical="center" wrapText="1"/>
    </xf>
    <xf numFmtId="0" fontId="41" fillId="2" borderId="2" xfId="0" applyFont="1" applyFill="1" applyBorder="1" applyAlignment="1">
      <alignment vertical="center"/>
    </xf>
    <xf numFmtId="0" fontId="41" fillId="2" borderId="3" xfId="0" applyFont="1" applyFill="1" applyBorder="1" applyAlignment="1">
      <alignment vertical="center"/>
    </xf>
    <xf numFmtId="3" fontId="42" fillId="2" borderId="3" xfId="0" applyNumberFormat="1" applyFont="1" applyFill="1" applyBorder="1" applyAlignment="1">
      <alignment horizontal="right" vertical="center" indent="2"/>
    </xf>
    <xf numFmtId="0" fontId="43" fillId="4" borderId="2" xfId="0" applyFont="1" applyFill="1" applyBorder="1" applyAlignment="1">
      <alignment vertical="center"/>
    </xf>
    <xf numFmtId="0" fontId="43" fillId="4" borderId="3" xfId="0" applyFont="1" applyFill="1" applyBorder="1" applyAlignment="1">
      <alignment vertical="center"/>
    </xf>
    <xf numFmtId="3" fontId="47" fillId="4" borderId="1" xfId="0" applyNumberFormat="1" applyFont="1" applyFill="1" applyBorder="1" applyAlignment="1">
      <alignment horizontal="right" vertical="center" indent="2"/>
    </xf>
    <xf numFmtId="4" fontId="42" fillId="2" borderId="1" xfId="0" applyNumberFormat="1" applyFont="1" applyFill="1" applyBorder="1" applyAlignment="1">
      <alignment horizontal="right" vertical="center" indent="2"/>
    </xf>
    <xf numFmtId="0" fontId="38" fillId="10" borderId="7" xfId="10" applyFont="1" applyFill="1" applyBorder="1" applyAlignment="1">
      <alignment horizontal="left" vertical="center" wrapText="1"/>
    </xf>
    <xf numFmtId="0" fontId="38" fillId="10" borderId="8" xfId="10" applyFont="1" applyFill="1" applyBorder="1" applyAlignment="1">
      <alignment horizontal="left" vertical="center" wrapText="1"/>
    </xf>
    <xf numFmtId="0" fontId="38" fillId="10" borderId="9" xfId="10" applyFont="1" applyFill="1" applyBorder="1" applyAlignment="1">
      <alignment horizontal="left" vertical="center" wrapText="1"/>
    </xf>
    <xf numFmtId="0" fontId="35" fillId="2" borderId="0" xfId="10" applyFill="1" applyAlignment="1">
      <alignment horizontal="left" vertical="center"/>
    </xf>
    <xf numFmtId="0" fontId="38" fillId="5" borderId="3" xfId="10" applyFont="1" applyFill="1" applyBorder="1" applyAlignment="1">
      <alignment horizontal="left" vertical="center" wrapText="1"/>
    </xf>
    <xf numFmtId="0" fontId="38" fillId="6" borderId="3" xfId="10" applyFont="1" applyFill="1" applyBorder="1" applyAlignment="1">
      <alignment horizontal="left" vertical="center" wrapText="1"/>
    </xf>
    <xf numFmtId="0" fontId="38" fillId="3" borderId="9" xfId="10" applyFont="1" applyFill="1" applyBorder="1" applyAlignment="1">
      <alignment horizontal="left" vertical="center" wrapText="1"/>
    </xf>
    <xf numFmtId="0" fontId="38" fillId="19" borderId="3" xfId="10" applyFont="1" applyFill="1" applyBorder="1" applyAlignment="1">
      <alignment horizontal="left" vertical="center" wrapText="1"/>
    </xf>
    <xf numFmtId="0" fontId="38" fillId="7" borderId="3" xfId="10" applyFont="1" applyFill="1" applyBorder="1" applyAlignment="1">
      <alignment horizontal="left" vertical="center" wrapText="1"/>
    </xf>
    <xf numFmtId="169" fontId="0" fillId="2" borderId="1" xfId="0" applyNumberFormat="1" applyFill="1" applyBorder="1" applyAlignment="1">
      <alignment horizontal="center" vertical="center"/>
    </xf>
    <xf numFmtId="165" fontId="0" fillId="2" borderId="0" xfId="1" applyNumberFormat="1" applyFont="1" applyFill="1" applyBorder="1" applyAlignment="1" applyProtection="1">
      <alignment horizontal="center"/>
    </xf>
    <xf numFmtId="165" fontId="0" fillId="2" borderId="0" xfId="0" applyNumberFormat="1" applyFill="1" applyAlignment="1">
      <alignment horizontal="center"/>
    </xf>
    <xf numFmtId="165" fontId="0" fillId="2" borderId="0" xfId="0" applyNumberFormat="1" applyFill="1"/>
    <xf numFmtId="165" fontId="0" fillId="2" borderId="0" xfId="1" applyNumberFormat="1" applyFont="1" applyFill="1" applyAlignment="1" applyProtection="1">
      <alignment horizontal="center"/>
    </xf>
    <xf numFmtId="170" fontId="0" fillId="2" borderId="0" xfId="0" applyNumberFormat="1" applyFill="1" applyAlignment="1">
      <alignment vertical="center"/>
    </xf>
    <xf numFmtId="165" fontId="42" fillId="2" borderId="3" xfId="1" applyNumberFormat="1" applyFont="1" applyFill="1" applyBorder="1" applyAlignment="1" applyProtection="1">
      <alignment horizontal="right" vertical="center" indent="2"/>
    </xf>
    <xf numFmtId="3" fontId="0" fillId="8" borderId="25" xfId="0" applyNumberFormat="1" applyFill="1" applyBorder="1" applyAlignment="1" applyProtection="1">
      <alignment horizontal="center" vertical="center"/>
      <protection locked="0"/>
    </xf>
    <xf numFmtId="0" fontId="44" fillId="2" borderId="0" xfId="0" applyFont="1" applyFill="1" applyAlignment="1">
      <alignment vertical="center"/>
    </xf>
    <xf numFmtId="0" fontId="3" fillId="14" borderId="4" xfId="0" applyFont="1" applyFill="1" applyBorder="1" applyAlignment="1">
      <alignment horizontal="center" vertical="center" wrapText="1"/>
    </xf>
    <xf numFmtId="0" fontId="18" fillId="21" borderId="4" xfId="0" applyFont="1" applyFill="1" applyBorder="1" applyAlignment="1">
      <alignment horizontal="center" vertical="center" wrapText="1"/>
    </xf>
    <xf numFmtId="3" fontId="0" fillId="8" borderId="10" xfId="0" applyNumberFormat="1" applyFill="1" applyBorder="1" applyAlignment="1" applyProtection="1">
      <alignment horizontal="right" indent="1"/>
      <protection locked="0"/>
    </xf>
    <xf numFmtId="3" fontId="0" fillId="8" borderId="11" xfId="0" applyNumberFormat="1" applyFill="1" applyBorder="1" applyAlignment="1" applyProtection="1">
      <alignment horizontal="right" indent="1"/>
      <protection locked="0"/>
    </xf>
    <xf numFmtId="3" fontId="0" fillId="8" borderId="12" xfId="0" applyNumberFormat="1" applyFill="1" applyBorder="1" applyAlignment="1" applyProtection="1">
      <alignment horizontal="right" indent="1"/>
      <protection locked="0"/>
    </xf>
    <xf numFmtId="166" fontId="0" fillId="8" borderId="4" xfId="0" applyNumberFormat="1" applyFill="1" applyBorder="1" applyAlignment="1" applyProtection="1">
      <alignment horizontal="right" indent="1"/>
      <protection locked="0"/>
    </xf>
    <xf numFmtId="166" fontId="0" fillId="8" borderId="5" xfId="0" applyNumberFormat="1" applyFill="1" applyBorder="1" applyAlignment="1" applyProtection="1">
      <alignment horizontal="right" indent="1"/>
      <protection locked="0"/>
    </xf>
    <xf numFmtId="166" fontId="0" fillId="8" borderId="6" xfId="0" applyNumberFormat="1" applyFill="1" applyBorder="1" applyAlignment="1" applyProtection="1">
      <alignment horizontal="right" indent="1"/>
      <protection locked="0"/>
    </xf>
    <xf numFmtId="0" fontId="49" fillId="2" borderId="0" xfId="0" applyFont="1" applyFill="1" applyAlignment="1">
      <alignment horizontal="center" vertical="center"/>
    </xf>
    <xf numFmtId="3" fontId="60" fillId="2" borderId="0" xfId="0" applyNumberFormat="1" applyFont="1" applyFill="1" applyAlignment="1">
      <alignment horizontal="right" vertical="center" indent="2"/>
    </xf>
    <xf numFmtId="3" fontId="61" fillId="2" borderId="0" xfId="0" applyNumberFormat="1" applyFont="1" applyFill="1" applyAlignment="1">
      <alignment horizontal="right" vertical="center" indent="2"/>
    </xf>
    <xf numFmtId="0" fontId="59" fillId="2" borderId="0" xfId="0" applyFont="1" applyFill="1" applyAlignment="1">
      <alignment vertical="center"/>
    </xf>
    <xf numFmtId="0" fontId="60" fillId="2" borderId="0" xfId="0" applyFont="1" applyFill="1" applyAlignment="1">
      <alignment vertical="center"/>
    </xf>
    <xf numFmtId="0" fontId="13" fillId="2" borderId="14" xfId="0" applyFont="1" applyFill="1" applyBorder="1" applyAlignment="1">
      <alignment vertical="center" wrapText="1"/>
    </xf>
    <xf numFmtId="0" fontId="13" fillId="2" borderId="0" xfId="0" applyFont="1" applyFill="1" applyAlignment="1">
      <alignment horizontal="center" vertical="center" wrapText="1"/>
    </xf>
    <xf numFmtId="3" fontId="49" fillId="10" borderId="1" xfId="0" applyNumberFormat="1" applyFont="1" applyFill="1" applyBorder="1" applyAlignment="1">
      <alignment horizontal="right" vertical="center" indent="2"/>
    </xf>
    <xf numFmtId="3" fontId="59" fillId="22" borderId="1" xfId="0" applyNumberFormat="1" applyFont="1" applyFill="1" applyBorder="1" applyAlignment="1">
      <alignment horizontal="right" vertical="center" indent="2"/>
    </xf>
    <xf numFmtId="3" fontId="59" fillId="22" borderId="4" xfId="0" applyNumberFormat="1" applyFont="1" applyFill="1" applyBorder="1" applyAlignment="1">
      <alignment horizontal="right" vertical="center" indent="2"/>
    </xf>
    <xf numFmtId="3" fontId="59" fillId="23" borderId="1" xfId="0" applyNumberFormat="1" applyFont="1" applyFill="1" applyBorder="1" applyAlignment="1">
      <alignment horizontal="right" vertical="center" indent="2"/>
    </xf>
    <xf numFmtId="3" fontId="0" fillId="4" borderId="4" xfId="0" applyNumberFormat="1" applyFill="1" applyBorder="1"/>
    <xf numFmtId="3" fontId="0" fillId="4" borderId="7" xfId="0" applyNumberFormat="1" applyFill="1" applyBorder="1"/>
    <xf numFmtId="3" fontId="0" fillId="2" borderId="4" xfId="0" applyNumberFormat="1" applyFill="1" applyBorder="1"/>
    <xf numFmtId="3" fontId="0" fillId="2" borderId="7" xfId="0" applyNumberFormat="1" applyFill="1" applyBorder="1"/>
    <xf numFmtId="3" fontId="0" fillId="2" borderId="14" xfId="0" applyNumberFormat="1" applyFill="1" applyBorder="1"/>
    <xf numFmtId="3" fontId="0" fillId="2" borderId="5" xfId="0" applyNumberFormat="1" applyFill="1" applyBorder="1"/>
    <xf numFmtId="3" fontId="0" fillId="2" borderId="11" xfId="0" applyNumberFormat="1" applyFill="1" applyBorder="1"/>
    <xf numFmtId="3" fontId="0" fillId="7" borderId="4" xfId="0" applyNumberFormat="1" applyFill="1" applyBorder="1"/>
    <xf numFmtId="3" fontId="0" fillId="4" borderId="5" xfId="0" applyNumberFormat="1" applyFill="1" applyBorder="1"/>
    <xf numFmtId="3" fontId="0" fillId="4" borderId="8" xfId="0" applyNumberFormat="1" applyFill="1" applyBorder="1"/>
    <xf numFmtId="3" fontId="0" fillId="2" borderId="8" xfId="0" applyNumberFormat="1" applyFill="1" applyBorder="1"/>
    <xf numFmtId="3" fontId="0" fillId="7" borderId="5" xfId="0" applyNumberFormat="1" applyFill="1" applyBorder="1"/>
    <xf numFmtId="3" fontId="0" fillId="4" borderId="6" xfId="0" applyNumberFormat="1" applyFill="1" applyBorder="1"/>
    <xf numFmtId="3" fontId="0" fillId="4" borderId="9" xfId="0" applyNumberFormat="1" applyFill="1" applyBorder="1"/>
    <xf numFmtId="3" fontId="0" fillId="2" borderId="9" xfId="0" applyNumberFormat="1" applyFill="1" applyBorder="1"/>
    <xf numFmtId="3" fontId="0" fillId="2" borderId="15" xfId="0" applyNumberFormat="1" applyFill="1" applyBorder="1"/>
    <xf numFmtId="3" fontId="0" fillId="2" borderId="6" xfId="0" applyNumberFormat="1" applyFill="1" applyBorder="1"/>
    <xf numFmtId="3" fontId="0" fillId="7" borderId="6" xfId="0" applyNumberFormat="1" applyFill="1" applyBorder="1"/>
    <xf numFmtId="3" fontId="0" fillId="2" borderId="1" xfId="0" applyNumberFormat="1" applyFill="1" applyBorder="1"/>
    <xf numFmtId="3" fontId="0" fillId="2" borderId="3" xfId="0" applyNumberFormat="1" applyFill="1" applyBorder="1"/>
    <xf numFmtId="3" fontId="0" fillId="2" borderId="13" xfId="0" applyNumberFormat="1" applyFill="1" applyBorder="1"/>
    <xf numFmtId="3" fontId="0" fillId="2" borderId="2" xfId="0" applyNumberFormat="1" applyFill="1" applyBorder="1"/>
    <xf numFmtId="3" fontId="0" fillId="7" borderId="6" xfId="0" applyNumberFormat="1" applyFill="1" applyBorder="1" applyAlignment="1">
      <alignment horizontal="right"/>
    </xf>
    <xf numFmtId="168" fontId="0" fillId="2" borderId="4" xfId="12" applyNumberFormat="1" applyFont="1" applyFill="1" applyBorder="1"/>
    <xf numFmtId="168" fontId="0" fillId="2" borderId="5" xfId="12" applyNumberFormat="1" applyFont="1" applyFill="1" applyBorder="1"/>
    <xf numFmtId="168" fontId="0" fillId="2" borderId="6" xfId="12" applyNumberFormat="1" applyFont="1" applyFill="1" applyBorder="1"/>
    <xf numFmtId="168" fontId="0" fillId="2" borderId="1" xfId="0" applyNumberFormat="1" applyFill="1" applyBorder="1"/>
    <xf numFmtId="0" fontId="49" fillId="2" borderId="0" xfId="0" applyFont="1" applyFill="1" applyAlignment="1">
      <alignment horizontal="center" vertical="center" wrapText="1"/>
    </xf>
    <xf numFmtId="3" fontId="59" fillId="2" borderId="0" xfId="0" applyNumberFormat="1" applyFont="1" applyFill="1" applyAlignment="1">
      <alignment horizontal="right" vertical="center" indent="2"/>
    </xf>
    <xf numFmtId="3" fontId="49" fillId="2" borderId="0" xfId="0" applyNumberFormat="1" applyFont="1" applyFill="1" applyAlignment="1">
      <alignment horizontal="right" vertical="center" indent="2"/>
    </xf>
    <xf numFmtId="0" fontId="0" fillId="4" borderId="10" xfId="0" applyFill="1" applyBorder="1" applyAlignment="1">
      <alignment horizontal="center"/>
    </xf>
    <xf numFmtId="3" fontId="0" fillId="8" borderId="7" xfId="0" applyNumberFormat="1" applyFill="1" applyBorder="1" applyAlignment="1" applyProtection="1">
      <alignment horizontal="right" indent="1"/>
      <protection locked="0"/>
    </xf>
    <xf numFmtId="3" fontId="0" fillId="8" borderId="4" xfId="0" applyNumberFormat="1" applyFill="1" applyBorder="1" applyAlignment="1" applyProtection="1">
      <alignment horizontal="right" indent="1"/>
      <protection locked="0"/>
    </xf>
    <xf numFmtId="0" fontId="0" fillId="4" borderId="11" xfId="0" applyFill="1" applyBorder="1" applyAlignment="1">
      <alignment horizontal="center"/>
    </xf>
    <xf numFmtId="0" fontId="0" fillId="4" borderId="12" xfId="0" applyFill="1" applyBorder="1" applyAlignment="1">
      <alignment horizontal="center"/>
    </xf>
    <xf numFmtId="3" fontId="0" fillId="8" borderId="9" xfId="0" applyNumberFormat="1" applyFill="1" applyBorder="1" applyAlignment="1" applyProtection="1">
      <alignment horizontal="right" indent="1"/>
      <protection locked="0"/>
    </xf>
    <xf numFmtId="3" fontId="0" fillId="8" borderId="6" xfId="0" applyNumberFormat="1" applyFill="1" applyBorder="1" applyAlignment="1" applyProtection="1">
      <alignment horizontal="right" indent="1"/>
      <protection locked="0"/>
    </xf>
    <xf numFmtId="4" fontId="0" fillId="7" borderId="5" xfId="0" applyNumberFormat="1" applyFill="1" applyBorder="1" applyAlignment="1" applyProtection="1">
      <alignment horizontal="right" indent="1"/>
      <protection locked="0"/>
    </xf>
    <xf numFmtId="165" fontId="5" fillId="4" borderId="7" xfId="0" applyNumberFormat="1" applyFont="1" applyFill="1" applyBorder="1" applyAlignment="1">
      <alignment horizontal="center" vertical="center"/>
    </xf>
    <xf numFmtId="0" fontId="3" fillId="2" borderId="1" xfId="0" applyFont="1" applyFill="1" applyBorder="1" applyAlignment="1">
      <alignment horizontal="center"/>
    </xf>
    <xf numFmtId="166" fontId="0" fillId="8" borderId="7" xfId="0" applyNumberFormat="1" applyFill="1" applyBorder="1" applyAlignment="1" applyProtection="1">
      <alignment horizontal="right" indent="1"/>
      <protection locked="0"/>
    </xf>
    <xf numFmtId="166" fontId="0" fillId="8" borderId="8" xfId="0" applyNumberFormat="1" applyFill="1" applyBorder="1" applyAlignment="1" applyProtection="1">
      <alignment horizontal="right" indent="1"/>
      <protection locked="0"/>
    </xf>
    <xf numFmtId="166" fontId="0" fillId="8" borderId="9" xfId="0" applyNumberFormat="1" applyFill="1" applyBorder="1" applyAlignment="1" applyProtection="1">
      <alignment horizontal="right" indent="1"/>
      <protection locked="0"/>
    </xf>
    <xf numFmtId="0" fontId="34" fillId="2" borderId="0" xfId="4" applyFont="1" applyFill="1" applyAlignment="1" applyProtection="1">
      <alignment horizontal="center" vertical="center" wrapText="1"/>
    </xf>
    <xf numFmtId="0" fontId="0" fillId="2" borderId="2" xfId="0" applyFill="1" applyBorder="1"/>
    <xf numFmtId="170" fontId="0" fillId="7" borderId="1" xfId="0" applyNumberFormat="1" applyFill="1" applyBorder="1" applyAlignment="1">
      <alignment horizontal="center"/>
    </xf>
    <xf numFmtId="0" fontId="3" fillId="7" borderId="1" xfId="0" applyFont="1" applyFill="1" applyBorder="1" applyAlignment="1">
      <alignment horizontal="center"/>
    </xf>
    <xf numFmtId="0" fontId="3" fillId="14" borderId="1" xfId="0" applyFont="1" applyFill="1" applyBorder="1" applyAlignment="1">
      <alignment horizontal="center"/>
    </xf>
    <xf numFmtId="165" fontId="0" fillId="4" borderId="4" xfId="1" applyNumberFormat="1" applyFont="1" applyFill="1" applyBorder="1" applyAlignment="1" applyProtection="1">
      <alignment horizontal="right" indent="1"/>
    </xf>
    <xf numFmtId="165" fontId="0" fillId="4" borderId="5" xfId="1" applyNumberFormat="1" applyFont="1" applyFill="1" applyBorder="1" applyAlignment="1" applyProtection="1">
      <alignment horizontal="right" indent="1"/>
    </xf>
    <xf numFmtId="165" fontId="0" fillId="4" borderId="6" xfId="1" applyNumberFormat="1" applyFont="1" applyFill="1" applyBorder="1" applyAlignment="1" applyProtection="1">
      <alignment horizontal="right" indent="1"/>
    </xf>
    <xf numFmtId="166" fontId="34" fillId="2" borderId="0" xfId="4" applyNumberFormat="1" applyFont="1" applyFill="1" applyAlignment="1" applyProtection="1">
      <alignment vertical="center" wrapText="1"/>
    </xf>
    <xf numFmtId="3" fontId="0" fillId="2" borderId="1" xfId="1" applyNumberFormat="1" applyFont="1" applyFill="1" applyBorder="1" applyAlignment="1" applyProtection="1">
      <alignment horizontal="center" vertical="center"/>
    </xf>
    <xf numFmtId="0" fontId="0" fillId="10" borderId="0" xfId="0" applyFill="1" applyAlignment="1">
      <alignment horizontal="center" vertical="center"/>
    </xf>
    <xf numFmtId="0" fontId="11" fillId="10" borderId="2" xfId="4" applyFill="1" applyBorder="1" applyAlignment="1">
      <alignment horizontal="left" vertical="center" indent="1"/>
    </xf>
    <xf numFmtId="0" fontId="38" fillId="10" borderId="3" xfId="10" applyFont="1" applyFill="1" applyBorder="1" applyAlignment="1">
      <alignment horizontal="left" vertical="center" wrapText="1"/>
    </xf>
    <xf numFmtId="0" fontId="40" fillId="2" borderId="0" xfId="10" applyFont="1" applyFill="1" applyAlignment="1">
      <alignment horizontal="left" vertical="center"/>
    </xf>
    <xf numFmtId="0" fontId="40" fillId="2" borderId="15" xfId="10" applyFont="1" applyFill="1" applyBorder="1" applyAlignment="1">
      <alignment horizontal="left" vertical="center"/>
    </xf>
    <xf numFmtId="0" fontId="11" fillId="10" borderId="0" xfId="4" applyFill="1" applyAlignment="1" applyProtection="1">
      <alignment horizontal="left" vertical="center"/>
    </xf>
    <xf numFmtId="0" fontId="0" fillId="2" borderId="2" xfId="0" applyFill="1" applyBorder="1" applyAlignment="1">
      <alignment horizontal="left" vertical="center" indent="1"/>
    </xf>
    <xf numFmtId="0" fontId="0" fillId="2" borderId="3" xfId="0" applyFill="1" applyBorder="1" applyAlignment="1">
      <alignment horizontal="left" vertical="center" indent="1"/>
    </xf>
    <xf numFmtId="164" fontId="0" fillId="7" borderId="1" xfId="0" applyNumberFormat="1" applyFill="1" applyBorder="1" applyAlignment="1">
      <alignment horizontal="center" vertical="center"/>
    </xf>
    <xf numFmtId="0" fontId="29" fillId="10" borderId="15" xfId="0" applyFont="1" applyFill="1" applyBorder="1" applyAlignment="1">
      <alignment horizontal="center" vertical="center"/>
    </xf>
    <xf numFmtId="0" fontId="29" fillId="10" borderId="0" xfId="0" applyFont="1" applyFill="1" applyAlignment="1">
      <alignment horizontal="center" vertical="center"/>
    </xf>
    <xf numFmtId="0" fontId="0" fillId="2" borderId="1" xfId="0" applyFill="1" applyBorder="1" applyAlignment="1">
      <alignment horizontal="left" vertical="center" indent="1"/>
    </xf>
    <xf numFmtId="0" fontId="0" fillId="2" borderId="10" xfId="0" applyFill="1" applyBorder="1" applyAlignment="1">
      <alignment horizontal="left" vertical="center" wrapText="1" indent="1"/>
    </xf>
    <xf numFmtId="0" fontId="0" fillId="2" borderId="7" xfId="0" applyFill="1" applyBorder="1" applyAlignment="1">
      <alignment horizontal="left" vertical="center" wrapText="1" indent="1"/>
    </xf>
    <xf numFmtId="0" fontId="0" fillId="2" borderId="23" xfId="0" applyFill="1" applyBorder="1" applyAlignment="1">
      <alignment horizontal="left" vertical="center" indent="1"/>
    </xf>
    <xf numFmtId="0" fontId="0" fillId="2" borderId="24" xfId="0" applyFill="1" applyBorder="1" applyAlignment="1">
      <alignment horizontal="left" vertical="center" indent="1"/>
    </xf>
    <xf numFmtId="0" fontId="0" fillId="20" borderId="6" xfId="0" applyFill="1" applyBorder="1" applyAlignment="1">
      <alignment horizontal="left" vertical="center" indent="1"/>
    </xf>
    <xf numFmtId="0" fontId="0" fillId="2" borderId="12" xfId="0" applyFill="1" applyBorder="1" applyAlignment="1">
      <alignment horizontal="left" vertical="center" wrapText="1" indent="1"/>
    </xf>
    <xf numFmtId="0" fontId="0" fillId="2" borderId="9" xfId="0" applyFill="1" applyBorder="1" applyAlignment="1">
      <alignment horizontal="left" vertical="center" wrapText="1" indent="1"/>
    </xf>
    <xf numFmtId="9" fontId="0" fillId="7" borderId="4" xfId="0" applyNumberFormat="1" applyFill="1" applyBorder="1" applyAlignment="1">
      <alignment horizontal="center" vertical="center"/>
    </xf>
    <xf numFmtId="9" fontId="0" fillId="7" borderId="6" xfId="0" applyNumberFormat="1" applyFill="1" applyBorder="1" applyAlignment="1">
      <alignment horizontal="center" vertical="center"/>
    </xf>
    <xf numFmtId="0" fontId="0" fillId="20" borderId="1" xfId="0" applyFill="1" applyBorder="1" applyAlignment="1">
      <alignment horizontal="left" vertical="center" indent="1"/>
    </xf>
    <xf numFmtId="0" fontId="0" fillId="20" borderId="3" xfId="0" applyFill="1" applyBorder="1" applyAlignment="1">
      <alignment horizontal="left" vertical="center" indent="1"/>
    </xf>
    <xf numFmtId="0" fontId="0" fillId="2" borderId="7" xfId="0" applyFill="1" applyBorder="1" applyAlignment="1">
      <alignment horizontal="left" vertical="center" indent="1"/>
    </xf>
    <xf numFmtId="0" fontId="0" fillId="2" borderId="12" xfId="0" applyFill="1" applyBorder="1" applyAlignment="1">
      <alignment horizontal="left" vertical="center" indent="1"/>
    </xf>
    <xf numFmtId="0" fontId="0" fillId="2" borderId="9" xfId="0" applyFill="1" applyBorder="1" applyAlignment="1">
      <alignment horizontal="left" vertical="center" indent="1"/>
    </xf>
    <xf numFmtId="4" fontId="0" fillId="7" borderId="4" xfId="0" applyNumberFormat="1" applyFill="1" applyBorder="1" applyAlignment="1">
      <alignment horizontal="center" vertical="center"/>
    </xf>
    <xf numFmtId="4" fontId="0" fillId="7" borderId="6" xfId="0" applyNumberFormat="1" applyFill="1" applyBorder="1" applyAlignment="1">
      <alignment horizontal="center" vertical="center"/>
    </xf>
    <xf numFmtId="0" fontId="0" fillId="20" borderId="23" xfId="0" applyFill="1" applyBorder="1" applyAlignment="1">
      <alignment horizontal="left" vertical="center" indent="1"/>
    </xf>
    <xf numFmtId="0" fontId="0" fillId="20" borderId="24" xfId="0" applyFill="1" applyBorder="1" applyAlignment="1">
      <alignment horizontal="left" vertical="center" indent="1"/>
    </xf>
    <xf numFmtId="0" fontId="0" fillId="2" borderId="6" xfId="0" applyFill="1" applyBorder="1" applyAlignment="1">
      <alignment horizontal="left" vertical="center" indent="1"/>
    </xf>
    <xf numFmtId="0" fontId="0" fillId="2" borderId="2" xfId="0" applyFill="1" applyBorder="1" applyAlignment="1">
      <alignment horizontal="left" vertical="center" wrapText="1" indent="1"/>
    </xf>
    <xf numFmtId="0" fontId="0" fillId="2" borderId="3" xfId="0" applyFill="1" applyBorder="1" applyAlignment="1">
      <alignment horizontal="left" vertical="center" wrapText="1" indent="1"/>
    </xf>
    <xf numFmtId="0" fontId="3" fillId="2" borderId="1" xfId="0" applyFont="1" applyFill="1" applyBorder="1" applyAlignment="1">
      <alignment horizontal="center" vertical="center" wrapText="1"/>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34" fillId="10" borderId="0" xfId="4" applyFont="1" applyFill="1" applyAlignment="1" applyProtection="1">
      <alignment horizontal="left" vertical="center" wrapText="1"/>
    </xf>
    <xf numFmtId="167" fontId="0" fillId="2" borderId="2" xfId="0" applyNumberFormat="1" applyFill="1" applyBorder="1" applyAlignment="1">
      <alignment horizontal="center" vertical="center"/>
    </xf>
    <xf numFmtId="167" fontId="0" fillId="2" borderId="3" xfId="0" applyNumberFormat="1" applyFill="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3" xfId="0" applyFont="1" applyFill="1" applyBorder="1" applyAlignment="1">
      <alignment horizontal="center" vertical="center"/>
    </xf>
    <xf numFmtId="167" fontId="0" fillId="7" borderId="2" xfId="0" applyNumberFormat="1" applyFill="1" applyBorder="1" applyAlignment="1">
      <alignment horizontal="center" vertical="center"/>
    </xf>
    <xf numFmtId="167" fontId="0" fillId="7" borderId="3" xfId="0" applyNumberFormat="1" applyFill="1" applyBorder="1" applyAlignment="1">
      <alignment horizontal="center" vertical="center"/>
    </xf>
    <xf numFmtId="3" fontId="25" fillId="10" borderId="0" xfId="0" applyNumberFormat="1" applyFont="1" applyFill="1" applyAlignment="1">
      <alignment horizontal="center" vertical="center"/>
    </xf>
    <xf numFmtId="0" fontId="25" fillId="10" borderId="0" xfId="0" applyFont="1" applyFill="1" applyAlignment="1">
      <alignment horizontal="center" vertical="center"/>
    </xf>
    <xf numFmtId="0" fontId="25" fillId="10" borderId="14" xfId="0" applyFont="1" applyFill="1" applyBorder="1" applyAlignment="1">
      <alignment horizontal="center" vertical="center"/>
    </xf>
    <xf numFmtId="0" fontId="3" fillId="14" borderId="2" xfId="0" applyFont="1" applyFill="1" applyBorder="1" applyAlignment="1">
      <alignment horizontal="center"/>
    </xf>
    <xf numFmtId="0" fontId="3" fillId="14" borderId="13" xfId="0" applyFont="1" applyFill="1" applyBorder="1" applyAlignment="1">
      <alignment horizontal="center"/>
    </xf>
    <xf numFmtId="0" fontId="3" fillId="14" borderId="3" xfId="0" applyFont="1" applyFill="1" applyBorder="1" applyAlignment="1">
      <alignment horizontal="center"/>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4" borderId="2" xfId="0" applyFill="1" applyBorder="1" applyAlignment="1">
      <alignment horizontal="right" vertical="center"/>
    </xf>
    <xf numFmtId="0" fontId="0" fillId="4" borderId="3" xfId="0" applyFill="1" applyBorder="1" applyAlignment="1">
      <alignment horizontal="right" vertical="center"/>
    </xf>
    <xf numFmtId="0" fontId="34" fillId="2" borderId="0" xfId="4" applyFont="1" applyFill="1" applyAlignment="1" applyProtection="1">
      <alignment horizontal="center" vertical="center" wrapText="1"/>
    </xf>
    <xf numFmtId="166" fontId="9" fillId="2" borderId="0" xfId="0" applyNumberFormat="1" applyFont="1" applyFill="1" applyAlignment="1">
      <alignment horizontal="center" vertical="center" wrapText="1"/>
    </xf>
    <xf numFmtId="0" fontId="3" fillId="14" borderId="4" xfId="0" applyFont="1" applyFill="1" applyBorder="1" applyAlignment="1">
      <alignment horizontal="center" vertical="center" wrapText="1"/>
    </xf>
    <xf numFmtId="0" fontId="3" fillId="14" borderId="6" xfId="0" applyFont="1" applyFill="1" applyBorder="1" applyAlignment="1">
      <alignment horizontal="center" vertical="center" wrapText="1"/>
    </xf>
    <xf numFmtId="0" fontId="3" fillId="15" borderId="4" xfId="0" applyFont="1" applyFill="1" applyBorder="1" applyAlignment="1">
      <alignment horizontal="center" vertical="center" wrapText="1"/>
    </xf>
    <xf numFmtId="0" fontId="3" fillId="15" borderId="6" xfId="0" applyFont="1" applyFill="1" applyBorder="1" applyAlignment="1">
      <alignment horizontal="center" vertical="center" wrapText="1"/>
    </xf>
    <xf numFmtId="0" fontId="3" fillId="16" borderId="4" xfId="0" applyFont="1" applyFill="1" applyBorder="1" applyAlignment="1">
      <alignment horizontal="center" vertical="center" wrapText="1"/>
    </xf>
    <xf numFmtId="0" fontId="3" fillId="16" borderId="6"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13"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0" fillId="2" borderId="2" xfId="0" applyFill="1" applyBorder="1" applyAlignment="1">
      <alignment horizontal="right"/>
    </xf>
    <xf numFmtId="0" fontId="0" fillId="2" borderId="3" xfId="0" applyFill="1" applyBorder="1" applyAlignment="1">
      <alignment horizontal="right"/>
    </xf>
    <xf numFmtId="0" fontId="3" fillId="2" borderId="5" xfId="0" applyFont="1" applyFill="1" applyBorder="1" applyAlignment="1">
      <alignment horizontal="center" vertical="center" wrapText="1"/>
    </xf>
    <xf numFmtId="0" fontId="18" fillId="14" borderId="4"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3" fillId="2" borderId="0" xfId="0" applyFont="1" applyFill="1" applyAlignment="1">
      <alignment horizontal="center"/>
    </xf>
    <xf numFmtId="0" fontId="21" fillId="2" borderId="10"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11"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8" xfId="0" applyFont="1" applyFill="1" applyBorder="1" applyAlignment="1">
      <alignment horizontal="center" vertical="center" wrapText="1"/>
    </xf>
    <xf numFmtId="0" fontId="34" fillId="2" borderId="0" xfId="4" applyFont="1" applyFill="1" applyAlignment="1" applyProtection="1">
      <alignment horizontal="right" vertical="center"/>
    </xf>
    <xf numFmtId="0" fontId="3" fillId="2" borderId="2" xfId="0" applyFont="1" applyFill="1" applyBorder="1" applyAlignment="1">
      <alignment horizontal="center"/>
    </xf>
    <xf numFmtId="0" fontId="3" fillId="2" borderId="13" xfId="0" applyFont="1" applyFill="1" applyBorder="1" applyAlignment="1">
      <alignment horizontal="center"/>
    </xf>
    <xf numFmtId="0" fontId="3" fillId="2" borderId="1" xfId="0" applyFont="1" applyFill="1" applyBorder="1" applyAlignment="1">
      <alignment horizontal="center" vertical="center"/>
    </xf>
    <xf numFmtId="0" fontId="3" fillId="5" borderId="4"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20" fillId="2" borderId="10"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7"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0" xfId="0" applyFont="1" applyFill="1" applyAlignment="1">
      <alignment horizontal="center" vertical="center"/>
    </xf>
    <xf numFmtId="0" fontId="20" fillId="2" borderId="8" xfId="0" applyFont="1" applyFill="1" applyBorder="1" applyAlignment="1">
      <alignment horizontal="center" vertical="center"/>
    </xf>
    <xf numFmtId="0" fontId="20" fillId="2" borderId="12"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9" xfId="0" applyFont="1" applyFill="1" applyBorder="1" applyAlignment="1">
      <alignment horizontal="center" vertical="center"/>
    </xf>
    <xf numFmtId="0" fontId="0" fillId="2" borderId="5" xfId="0" applyFill="1" applyBorder="1" applyAlignment="1">
      <alignment horizontal="center" vertical="center"/>
    </xf>
    <xf numFmtId="0" fontId="3" fillId="21" borderId="4"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3" fillId="21" borderId="6"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9" borderId="9" xfId="0" applyFont="1" applyFill="1" applyBorder="1" applyAlignment="1">
      <alignment horizontal="center" vertical="center" wrapText="1"/>
    </xf>
    <xf numFmtId="3" fontId="0" fillId="2" borderId="4" xfId="0" applyNumberFormat="1" applyFill="1" applyBorder="1" applyAlignment="1">
      <alignment horizontal="center" vertical="center"/>
    </xf>
    <xf numFmtId="3" fontId="0" fillId="2" borderId="6" xfId="0" applyNumberFormat="1" applyFill="1" applyBorder="1" applyAlignment="1">
      <alignment horizontal="center" vertical="center"/>
    </xf>
    <xf numFmtId="1" fontId="0" fillId="4" borderId="1" xfId="0" applyNumberFormat="1" applyFill="1" applyBorder="1" applyAlignment="1">
      <alignment horizontal="center" vertical="center"/>
    </xf>
    <xf numFmtId="0" fontId="19" fillId="2" borderId="10"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0" fillId="4" borderId="2" xfId="0" applyFill="1" applyBorder="1" applyAlignment="1">
      <alignment horizontal="right"/>
    </xf>
    <xf numFmtId="0" fontId="0" fillId="4" borderId="3" xfId="0" applyFill="1" applyBorder="1" applyAlignment="1">
      <alignment horizontal="right"/>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3" borderId="10"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 xfId="0" applyFont="1" applyFill="1" applyBorder="1" applyAlignment="1">
      <alignment horizontal="center" vertical="center"/>
    </xf>
    <xf numFmtId="0" fontId="3" fillId="3" borderId="13" xfId="0" applyFont="1" applyFill="1" applyBorder="1" applyAlignment="1">
      <alignment horizontal="center" vertical="center"/>
    </xf>
    <xf numFmtId="0" fontId="3" fillId="3" borderId="3" xfId="0" applyFont="1" applyFill="1" applyBorder="1" applyAlignment="1">
      <alignment horizontal="center" vertical="center"/>
    </xf>
    <xf numFmtId="0" fontId="21" fillId="2" borderId="10" xfId="0" applyFont="1" applyFill="1" applyBorder="1" applyAlignment="1">
      <alignment horizontal="center" vertical="center"/>
    </xf>
    <xf numFmtId="0" fontId="21" fillId="2" borderId="14"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12"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9"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13" xfId="0" applyFont="1" applyFill="1" applyBorder="1" applyAlignment="1">
      <alignment horizontal="center" vertical="center" wrapText="1"/>
    </xf>
    <xf numFmtId="9" fontId="0" fillId="4" borderId="2" xfId="1" applyFont="1" applyFill="1" applyBorder="1" applyAlignment="1" applyProtection="1">
      <alignment horizontal="center" vertical="center"/>
    </xf>
    <xf numFmtId="9" fontId="0" fillId="4" borderId="13" xfId="1" applyFont="1" applyFill="1" applyBorder="1" applyAlignment="1" applyProtection="1">
      <alignment horizontal="center" vertical="center"/>
    </xf>
    <xf numFmtId="0" fontId="3" fillId="2" borderId="3" xfId="0" applyFont="1" applyFill="1" applyBorder="1" applyAlignment="1">
      <alignment horizontal="center" vertical="center" wrapText="1"/>
    </xf>
    <xf numFmtId="0" fontId="3" fillId="19" borderId="10" xfId="0" applyFont="1" applyFill="1" applyBorder="1" applyAlignment="1">
      <alignment horizontal="center" vertical="center" wrapText="1"/>
    </xf>
    <xf numFmtId="0" fontId="3" fillId="19" borderId="14" xfId="0" applyFont="1" applyFill="1" applyBorder="1" applyAlignment="1">
      <alignment horizontal="center" vertical="center" wrapText="1"/>
    </xf>
    <xf numFmtId="0" fontId="3" fillId="19" borderId="7" xfId="0" applyFont="1" applyFill="1" applyBorder="1" applyAlignment="1">
      <alignment horizontal="center" vertical="center" wrapText="1"/>
    </xf>
    <xf numFmtId="0" fontId="3" fillId="19" borderId="12" xfId="0" applyFont="1" applyFill="1" applyBorder="1" applyAlignment="1">
      <alignment horizontal="center" vertical="center" wrapText="1"/>
    </xf>
    <xf numFmtId="0" fontId="3" fillId="19" borderId="15" xfId="0" applyFont="1" applyFill="1" applyBorder="1" applyAlignment="1">
      <alignment horizontal="center" vertical="center" wrapText="1"/>
    </xf>
    <xf numFmtId="0" fontId="3" fillId="19" borderId="9" xfId="0" applyFont="1" applyFill="1" applyBorder="1" applyAlignment="1">
      <alignment horizontal="center" vertical="center" wrapText="1"/>
    </xf>
    <xf numFmtId="3" fontId="0" fillId="4" borderId="4" xfId="0" applyNumberFormat="1" applyFill="1" applyBorder="1" applyAlignment="1">
      <alignment horizontal="center" vertical="center" wrapText="1"/>
    </xf>
    <xf numFmtId="3" fontId="0" fillId="4" borderId="6" xfId="0" applyNumberFormat="1" applyFill="1" applyBorder="1" applyAlignment="1">
      <alignment horizontal="center" vertical="center" wrapText="1"/>
    </xf>
    <xf numFmtId="165" fontId="3" fillId="4" borderId="4" xfId="1" applyNumberFormat="1" applyFont="1" applyFill="1" applyBorder="1" applyAlignment="1" applyProtection="1">
      <alignment horizontal="center" vertical="center" wrapText="1"/>
    </xf>
    <xf numFmtId="165" fontId="3" fillId="4" borderId="6" xfId="1" applyNumberFormat="1" applyFont="1" applyFill="1" applyBorder="1" applyAlignment="1" applyProtection="1">
      <alignment horizontal="center" vertical="center" wrapText="1"/>
    </xf>
    <xf numFmtId="0" fontId="3" fillId="19" borderId="2"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3" xfId="0" applyFont="1" applyFill="1" applyBorder="1" applyAlignment="1">
      <alignment horizontal="center" vertical="center" wrapText="1"/>
    </xf>
    <xf numFmtId="165" fontId="3" fillId="4" borderId="2" xfId="1" applyNumberFormat="1" applyFont="1" applyFill="1" applyBorder="1" applyAlignment="1" applyProtection="1">
      <alignment horizontal="center" vertical="center" wrapText="1"/>
    </xf>
    <xf numFmtId="165" fontId="3" fillId="4" borderId="3" xfId="1" applyNumberFormat="1" applyFont="1" applyFill="1" applyBorder="1" applyAlignment="1" applyProtection="1">
      <alignment horizontal="center" vertical="center" wrapText="1"/>
    </xf>
    <xf numFmtId="3" fontId="3" fillId="4" borderId="2" xfId="0" applyNumberFormat="1" applyFont="1" applyFill="1" applyBorder="1" applyAlignment="1">
      <alignment horizontal="center" vertical="center" wrapText="1"/>
    </xf>
    <xf numFmtId="3" fontId="3" fillId="4" borderId="13" xfId="0" applyNumberFormat="1" applyFont="1" applyFill="1" applyBorder="1" applyAlignment="1">
      <alignment horizontal="center" vertical="center" wrapText="1"/>
    </xf>
    <xf numFmtId="3" fontId="3" fillId="4" borderId="3" xfId="0" applyNumberFormat="1" applyFont="1" applyFill="1" applyBorder="1" applyAlignment="1">
      <alignment horizontal="center" vertical="center" wrapText="1"/>
    </xf>
    <xf numFmtId="0" fontId="3" fillId="19" borderId="2" xfId="0" applyFont="1" applyFill="1" applyBorder="1" applyAlignment="1">
      <alignment horizontal="center" vertical="center"/>
    </xf>
    <xf numFmtId="0" fontId="3" fillId="19" borderId="13" xfId="0" applyFont="1" applyFill="1" applyBorder="1" applyAlignment="1">
      <alignment horizontal="center" vertical="center"/>
    </xf>
    <xf numFmtId="0" fontId="3" fillId="19" borderId="3" xfId="0" applyFont="1" applyFill="1" applyBorder="1" applyAlignment="1">
      <alignment horizontal="center" vertical="center"/>
    </xf>
    <xf numFmtId="3" fontId="0" fillId="2" borderId="11" xfId="0" applyNumberFormat="1" applyFill="1" applyBorder="1" applyAlignment="1">
      <alignment horizontal="right" vertical="center" indent="1"/>
    </xf>
    <xf numFmtId="3" fontId="0" fillId="2" borderId="0" xfId="0" applyNumberFormat="1" applyFill="1" applyAlignment="1">
      <alignment horizontal="right" vertical="center" indent="1"/>
    </xf>
    <xf numFmtId="3" fontId="0" fillId="2" borderId="8" xfId="0" applyNumberFormat="1" applyFill="1" applyBorder="1" applyAlignment="1">
      <alignment horizontal="right" vertical="center" indent="1"/>
    </xf>
    <xf numFmtId="3" fontId="0" fillId="2" borderId="2" xfId="0" applyNumberFormat="1" applyFill="1" applyBorder="1" applyAlignment="1">
      <alignment horizontal="right" vertical="center" indent="1"/>
    </xf>
    <xf numFmtId="3" fontId="0" fillId="2" borderId="13" xfId="0" applyNumberFormat="1" applyFill="1" applyBorder="1" applyAlignment="1">
      <alignment horizontal="right" vertical="center" indent="1"/>
    </xf>
    <xf numFmtId="3" fontId="0" fillId="2" borderId="3" xfId="0" applyNumberFormat="1" applyFill="1" applyBorder="1" applyAlignment="1">
      <alignment horizontal="right" vertical="center" indent="1"/>
    </xf>
    <xf numFmtId="0" fontId="3" fillId="19" borderId="10" xfId="0" applyFont="1" applyFill="1" applyBorder="1" applyAlignment="1">
      <alignment horizontal="center" vertical="center"/>
    </xf>
    <xf numFmtId="0" fontId="3" fillId="19" borderId="14" xfId="0" applyFont="1" applyFill="1" applyBorder="1" applyAlignment="1">
      <alignment horizontal="center" vertical="center"/>
    </xf>
    <xf numFmtId="0" fontId="3" fillId="19" borderId="12" xfId="0" applyFont="1" applyFill="1" applyBorder="1" applyAlignment="1">
      <alignment horizontal="center" vertical="center"/>
    </xf>
    <xf numFmtId="0" fontId="3" fillId="19" borderId="15" xfId="0" applyFont="1" applyFill="1" applyBorder="1" applyAlignment="1">
      <alignment horizontal="center" vertical="center"/>
    </xf>
    <xf numFmtId="0" fontId="3" fillId="6" borderId="4"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17" borderId="4" xfId="0" applyFont="1" applyFill="1" applyBorder="1" applyAlignment="1">
      <alignment horizontal="center" vertical="center" wrapText="1"/>
    </xf>
    <xf numFmtId="0" fontId="3" fillId="17" borderId="6"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3" fillId="13" borderId="7"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2" fillId="2" borderId="0" xfId="0" applyFont="1" applyFill="1" applyAlignment="1">
      <alignment horizontal="center" vertical="center" wrapText="1"/>
    </xf>
    <xf numFmtId="3" fontId="3" fillId="18" borderId="4" xfId="0" applyNumberFormat="1" applyFont="1" applyFill="1" applyBorder="1" applyAlignment="1">
      <alignment horizontal="center" vertical="center" wrapText="1"/>
    </xf>
    <xf numFmtId="3" fontId="3" fillId="18" borderId="5" xfId="0" applyNumberFormat="1" applyFont="1" applyFill="1" applyBorder="1" applyAlignment="1">
      <alignment horizontal="center" vertical="center" wrapText="1"/>
    </xf>
    <xf numFmtId="0" fontId="13" fillId="2" borderId="0" xfId="0" quotePrefix="1" applyFont="1" applyFill="1" applyAlignment="1">
      <alignment horizontal="center" vertical="center" wrapText="1"/>
    </xf>
    <xf numFmtId="0" fontId="13" fillId="2" borderId="0" xfId="0" applyFont="1" applyFill="1" applyAlignment="1">
      <alignment horizontal="center" vertical="center" wrapText="1"/>
    </xf>
    <xf numFmtId="0" fontId="0" fillId="2" borderId="0" xfId="0" applyFill="1" applyAlignment="1">
      <alignment horizontal="center" vertical="center"/>
    </xf>
    <xf numFmtId="0" fontId="53" fillId="2" borderId="1" xfId="0" applyFont="1" applyFill="1" applyBorder="1" applyAlignment="1">
      <alignment horizontal="left" vertical="center"/>
    </xf>
    <xf numFmtId="0" fontId="54" fillId="2" borderId="1" xfId="0" applyFont="1" applyFill="1" applyBorder="1" applyAlignment="1">
      <alignment horizontal="left" vertical="center"/>
    </xf>
    <xf numFmtId="0" fontId="56" fillId="2" borderId="1" xfId="0" applyFont="1" applyFill="1" applyBorder="1" applyAlignment="1">
      <alignment horizontal="left" vertical="center"/>
    </xf>
    <xf numFmtId="0" fontId="43" fillId="13" borderId="2" xfId="0" applyFont="1" applyFill="1" applyBorder="1" applyAlignment="1">
      <alignment horizontal="left" vertical="center"/>
    </xf>
    <xf numFmtId="0" fontId="43" fillId="13" borderId="13" xfId="0" applyFont="1" applyFill="1" applyBorder="1" applyAlignment="1">
      <alignment horizontal="left" vertical="center"/>
    </xf>
    <xf numFmtId="0" fontId="43" fillId="17" borderId="1" xfId="0" applyFont="1" applyFill="1" applyBorder="1" applyAlignment="1">
      <alignment horizontal="left" vertical="center"/>
    </xf>
    <xf numFmtId="0" fontId="43" fillId="3" borderId="1" xfId="0" applyFont="1" applyFill="1" applyBorder="1" applyAlignment="1">
      <alignment horizontal="left" vertical="center"/>
    </xf>
    <xf numFmtId="0" fontId="49" fillId="2" borderId="0" xfId="0" applyFont="1" applyFill="1" applyAlignment="1">
      <alignment horizontal="center" vertical="center" wrapText="1"/>
    </xf>
    <xf numFmtId="0" fontId="49" fillId="2" borderId="15" xfId="0" applyFont="1" applyFill="1" applyBorder="1" applyAlignment="1">
      <alignment horizontal="center" vertical="center" wrapText="1"/>
    </xf>
    <xf numFmtId="0" fontId="46" fillId="2" borderId="26" xfId="0" applyFont="1" applyFill="1" applyBorder="1" applyAlignment="1">
      <alignment horizontal="center" vertical="center"/>
    </xf>
    <xf numFmtId="0" fontId="46" fillId="2" borderId="27" xfId="0" applyFont="1" applyFill="1" applyBorder="1" applyAlignment="1">
      <alignment horizontal="center" vertical="center"/>
    </xf>
    <xf numFmtId="0" fontId="46" fillId="2" borderId="28" xfId="0" applyFont="1" applyFill="1" applyBorder="1" applyAlignment="1">
      <alignment horizontal="center" vertical="center"/>
    </xf>
    <xf numFmtId="0" fontId="43" fillId="5" borderId="1" xfId="0" applyFont="1" applyFill="1" applyBorder="1" applyAlignment="1">
      <alignment horizontal="left" vertical="center"/>
    </xf>
    <xf numFmtId="0" fontId="43" fillId="6" borderId="4" xfId="0" applyFont="1" applyFill="1" applyBorder="1" applyAlignment="1">
      <alignment horizontal="left" vertical="center"/>
    </xf>
    <xf numFmtId="0" fontId="43" fillId="7" borderId="1" xfId="0" applyFont="1" applyFill="1" applyBorder="1" applyAlignment="1">
      <alignment horizontal="left" vertical="center"/>
    </xf>
    <xf numFmtId="0" fontId="43" fillId="8" borderId="2" xfId="0" applyFont="1" applyFill="1" applyBorder="1" applyAlignment="1" applyProtection="1">
      <alignment horizontal="center" vertical="center"/>
      <protection locked="0"/>
    </xf>
    <xf numFmtId="0" fontId="43" fillId="8" borderId="13" xfId="0" applyFont="1" applyFill="1" applyBorder="1" applyAlignment="1" applyProtection="1">
      <alignment horizontal="center" vertical="center"/>
      <protection locked="0"/>
    </xf>
    <xf numFmtId="0" fontId="43" fillId="19" borderId="1" xfId="0" applyFont="1" applyFill="1" applyBorder="1" applyAlignment="1">
      <alignment horizontal="left" vertical="center"/>
    </xf>
    <xf numFmtId="0" fontId="52" fillId="2" borderId="2" xfId="0" applyFont="1" applyFill="1" applyBorder="1" applyAlignment="1">
      <alignment horizontal="left" vertical="center"/>
    </xf>
    <xf numFmtId="0" fontId="52" fillId="2" borderId="13" xfId="0" applyFont="1" applyFill="1" applyBorder="1" applyAlignment="1">
      <alignment horizontal="left" vertical="center"/>
    </xf>
    <xf numFmtId="0" fontId="52" fillId="2" borderId="3" xfId="0" applyFont="1" applyFill="1" applyBorder="1" applyAlignment="1">
      <alignment horizontal="left" vertical="center"/>
    </xf>
    <xf numFmtId="0" fontId="52" fillId="2" borderId="1" xfId="0" applyFont="1" applyFill="1" applyBorder="1" applyAlignment="1">
      <alignment horizontal="left" vertical="center"/>
    </xf>
    <xf numFmtId="0" fontId="20" fillId="4" borderId="10"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20" fillId="4" borderId="12" xfId="0" applyFont="1" applyFill="1" applyBorder="1" applyAlignment="1">
      <alignment horizontal="center" vertical="center" wrapText="1"/>
    </xf>
    <xf numFmtId="0" fontId="20" fillId="4" borderId="9" xfId="0" applyFont="1" applyFill="1" applyBorder="1" applyAlignment="1">
      <alignment horizontal="center" vertical="center" wrapText="1"/>
    </xf>
    <xf numFmtId="166" fontId="34" fillId="2" borderId="0" xfId="4" applyNumberFormat="1" applyFont="1" applyFill="1" applyBorder="1" applyAlignment="1" applyProtection="1">
      <alignment horizontal="center" vertical="center" wrapText="1"/>
    </xf>
    <xf numFmtId="166" fontId="34" fillId="2" borderId="0" xfId="4" applyNumberFormat="1" applyFont="1" applyFill="1" applyAlignment="1" applyProtection="1">
      <alignment horizontal="center" vertical="center" wrapText="1"/>
    </xf>
    <xf numFmtId="0" fontId="0" fillId="2" borderId="0" xfId="0" applyFill="1" applyAlignment="1">
      <alignment horizontal="right" vertical="center" wrapText="1"/>
    </xf>
    <xf numFmtId="3" fontId="3" fillId="19" borderId="0" xfId="0" applyNumberFormat="1" applyFont="1" applyFill="1" applyAlignment="1">
      <alignment horizontal="center" vertical="center"/>
    </xf>
    <xf numFmtId="166" fontId="0" fillId="2" borderId="0" xfId="0" applyNumberFormat="1" applyFill="1" applyAlignment="1">
      <alignment horizontal="center" vertical="center"/>
    </xf>
    <xf numFmtId="0" fontId="0" fillId="2" borderId="0" xfId="0" applyFill="1" applyAlignment="1">
      <alignment horizontal="right" vertical="center"/>
    </xf>
    <xf numFmtId="3" fontId="3" fillId="2" borderId="0" xfId="0" applyNumberFormat="1" applyFont="1" applyFill="1" applyAlignment="1">
      <alignment horizontal="center" vertical="center"/>
    </xf>
    <xf numFmtId="3" fontId="0" fillId="2" borderId="0" xfId="0" applyNumberFormat="1" applyFill="1" applyAlignment="1">
      <alignment horizontal="center" vertical="center"/>
    </xf>
    <xf numFmtId="2" fontId="28" fillId="2" borderId="0" xfId="0" applyNumberFormat="1" applyFont="1" applyFill="1" applyAlignment="1">
      <alignment horizontal="center" vertical="center"/>
    </xf>
    <xf numFmtId="0" fontId="0" fillId="2" borderId="15" xfId="0" applyFill="1" applyBorder="1" applyAlignment="1">
      <alignment horizontal="right" vertical="center"/>
    </xf>
    <xf numFmtId="3" fontId="3" fillId="9" borderId="0" xfId="0" applyNumberFormat="1" applyFont="1" applyFill="1" applyAlignment="1">
      <alignment horizontal="center" vertical="center"/>
    </xf>
    <xf numFmtId="0" fontId="7" fillId="9" borderId="0" xfId="0" applyFont="1" applyFill="1" applyAlignment="1">
      <alignment horizontal="center" vertical="center" wrapText="1"/>
    </xf>
    <xf numFmtId="0" fontId="0" fillId="2" borderId="0" xfId="0" applyFill="1" applyAlignment="1">
      <alignment horizontal="center" vertical="center" wrapText="1"/>
    </xf>
    <xf numFmtId="3" fontId="0" fillId="2" borderId="0" xfId="1" applyNumberFormat="1" applyFont="1" applyFill="1" applyAlignment="1">
      <alignment horizontal="center" vertical="center"/>
    </xf>
    <xf numFmtId="3" fontId="20" fillId="7" borderId="17" xfId="0" applyNumberFormat="1" applyFont="1" applyFill="1" applyBorder="1" applyAlignment="1">
      <alignment horizontal="center" vertical="center"/>
    </xf>
    <xf numFmtId="3" fontId="20" fillId="7" borderId="18" xfId="0" applyNumberFormat="1" applyFont="1" applyFill="1" applyBorder="1" applyAlignment="1">
      <alignment horizontal="center" vertical="center"/>
    </xf>
    <xf numFmtId="0" fontId="20" fillId="7" borderId="16" xfId="0" applyFont="1" applyFill="1" applyBorder="1" applyAlignment="1">
      <alignment horizontal="center" vertical="center"/>
    </xf>
    <xf numFmtId="0" fontId="20" fillId="7" borderId="17" xfId="0" applyFont="1" applyFill="1" applyBorder="1" applyAlignment="1">
      <alignment horizontal="center" vertical="center"/>
    </xf>
    <xf numFmtId="0" fontId="20" fillId="7" borderId="18" xfId="0" applyFont="1" applyFill="1" applyBorder="1" applyAlignment="1">
      <alignment horizontal="center" vertical="center"/>
    </xf>
    <xf numFmtId="0" fontId="13" fillId="2" borderId="0" xfId="0" applyFont="1" applyFill="1" applyAlignment="1">
      <alignment horizontal="center" vertical="top"/>
    </xf>
    <xf numFmtId="0" fontId="3" fillId="5" borderId="21"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3" fillId="9" borderId="21" xfId="0" applyFont="1" applyFill="1" applyBorder="1" applyAlignment="1">
      <alignment horizontal="center" vertical="center" wrapText="1"/>
    </xf>
    <xf numFmtId="0" fontId="3" fillId="9" borderId="19"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19" borderId="21" xfId="0" applyFont="1" applyFill="1" applyBorder="1" applyAlignment="1">
      <alignment horizontal="center" vertical="center" wrapText="1"/>
    </xf>
    <xf numFmtId="0" fontId="3" fillId="19" borderId="19" xfId="0" applyFont="1" applyFill="1" applyBorder="1" applyAlignment="1">
      <alignment horizontal="center" vertical="center" wrapText="1"/>
    </xf>
    <xf numFmtId="0" fontId="7" fillId="5" borderId="0" xfId="0" applyFont="1" applyFill="1" applyAlignment="1">
      <alignment horizontal="center" vertical="center" wrapText="1"/>
    </xf>
    <xf numFmtId="3" fontId="3" fillId="5" borderId="0" xfId="0" applyNumberFormat="1" applyFont="1" applyFill="1" applyAlignment="1">
      <alignment horizontal="center" vertical="center"/>
    </xf>
    <xf numFmtId="166" fontId="3" fillId="2" borderId="0" xfId="0" applyNumberFormat="1" applyFont="1" applyFill="1" applyAlignment="1">
      <alignment horizontal="center" vertical="center"/>
    </xf>
    <xf numFmtId="165" fontId="0" fillId="2" borderId="0" xfId="1" applyNumberFormat="1" applyFont="1" applyFill="1" applyAlignment="1">
      <alignment horizontal="center" vertical="center"/>
    </xf>
    <xf numFmtId="0" fontId="3" fillId="2" borderId="0" xfId="0" applyFont="1" applyFill="1" applyAlignment="1">
      <alignment horizontal="center" vertical="center"/>
    </xf>
    <xf numFmtId="0" fontId="20" fillId="8" borderId="2" xfId="0" applyFont="1" applyFill="1" applyBorder="1" applyAlignment="1" applyProtection="1">
      <alignment horizontal="center" vertical="center"/>
      <protection locked="0"/>
    </xf>
    <xf numFmtId="0" fontId="20" fillId="8" borderId="13" xfId="0" applyFont="1" applyFill="1" applyBorder="1" applyAlignment="1" applyProtection="1">
      <alignment horizontal="center" vertical="center"/>
      <protection locked="0"/>
    </xf>
    <xf numFmtId="0" fontId="20" fillId="8" borderId="3" xfId="0" applyFont="1" applyFill="1" applyBorder="1" applyAlignment="1" applyProtection="1">
      <alignment horizontal="center" vertical="center"/>
      <protection locked="0"/>
    </xf>
    <xf numFmtId="0" fontId="43" fillId="7" borderId="2" xfId="0" applyFont="1" applyFill="1" applyBorder="1" applyAlignment="1">
      <alignment horizontal="center" vertical="center"/>
    </xf>
    <xf numFmtId="0" fontId="43" fillId="7" borderId="13" xfId="0" applyFont="1" applyFill="1" applyBorder="1" applyAlignment="1">
      <alignment horizontal="center" vertical="center"/>
    </xf>
    <xf numFmtId="0" fontId="43" fillId="7" borderId="3" xfId="0" applyFont="1" applyFill="1" applyBorder="1" applyAlignment="1">
      <alignment horizontal="center" vertical="center"/>
    </xf>
    <xf numFmtId="0" fontId="43" fillId="8" borderId="3" xfId="0" applyFont="1" applyFill="1" applyBorder="1" applyAlignment="1" applyProtection="1">
      <alignment horizontal="center" vertical="center"/>
      <protection locked="0"/>
    </xf>
    <xf numFmtId="0" fontId="43" fillId="7" borderId="1" xfId="0" applyFont="1" applyFill="1" applyBorder="1" applyAlignment="1">
      <alignment horizontal="center" vertical="center"/>
    </xf>
    <xf numFmtId="0" fontId="41" fillId="2" borderId="1" xfId="0" applyFont="1" applyFill="1" applyBorder="1" applyAlignment="1">
      <alignment horizontal="left" vertical="center"/>
    </xf>
    <xf numFmtId="0" fontId="43" fillId="7" borderId="4" xfId="0" applyFont="1" applyFill="1" applyBorder="1" applyAlignment="1">
      <alignment horizontal="center" vertical="center"/>
    </xf>
    <xf numFmtId="3" fontId="0" fillId="2" borderId="11" xfId="0" applyNumberFormat="1" applyFill="1" applyBorder="1" applyAlignment="1">
      <alignment horizontal="right"/>
    </xf>
    <xf numFmtId="3" fontId="0" fillId="2" borderId="0" xfId="0" applyNumberFormat="1" applyFill="1" applyAlignment="1">
      <alignment horizontal="right"/>
    </xf>
    <xf numFmtId="3" fontId="0" fillId="2" borderId="8" xfId="0" applyNumberFormat="1" applyFill="1" applyBorder="1" applyAlignment="1">
      <alignment horizontal="right"/>
    </xf>
    <xf numFmtId="3" fontId="0" fillId="2" borderId="2" xfId="0" applyNumberFormat="1" applyFill="1" applyBorder="1" applyAlignment="1">
      <alignment horizontal="right"/>
    </xf>
    <xf numFmtId="3" fontId="0" fillId="2" borderId="13" xfId="0" applyNumberFormat="1" applyFill="1" applyBorder="1" applyAlignment="1">
      <alignment horizontal="right"/>
    </xf>
    <xf numFmtId="3" fontId="0" fillId="2" borderId="3" xfId="0" applyNumberFormat="1" applyFill="1" applyBorder="1" applyAlignment="1">
      <alignment horizontal="right"/>
    </xf>
  </cellXfs>
  <cellStyles count="13">
    <cellStyle name="Lien hypertexte" xfId="4" builtinId="8"/>
    <cellStyle name="Lien hypertexte 2" xfId="11" xr:uid="{58FFBAD7-8318-4B27-93F1-C06EE54D8E71}"/>
    <cellStyle name="Milliers" xfId="12" builtinId="3"/>
    <cellStyle name="Normal" xfId="0" builtinId="0"/>
    <cellStyle name="Normal 10" xfId="10" xr:uid="{C717CFCC-BE29-4284-96FE-953E3BA48CD0}"/>
    <cellStyle name="Normal 2" xfId="2" xr:uid="{E0E40804-91A8-4E15-978E-FDC3679B9565}"/>
    <cellStyle name="Normal 2 2" xfId="7" xr:uid="{D53B2561-2CF8-465C-A94D-5D3C1FDA0B8C}"/>
    <cellStyle name="Normal 3" xfId="5" xr:uid="{120685E3-F313-4CC9-A35A-2159300893ED}"/>
    <cellStyle name="Normal 4" xfId="6" xr:uid="{F1D46053-A75F-4F41-8DD7-ACD00FA1F270}"/>
    <cellStyle name="Normal 5" xfId="8" xr:uid="{A70F14E0-E639-4217-9CB6-E2973B0535AB}"/>
    <cellStyle name="Normal 6" xfId="9" xr:uid="{8A79114E-070E-4D2D-BC11-02EAC961A1A3}"/>
    <cellStyle name="Pourcentage" xfId="1" builtinId="5"/>
    <cellStyle name="Pourcentage 2" xfId="3" xr:uid="{8EFA6447-DE52-4C24-BE2C-F5EF24DF0264}"/>
  </cellStyles>
  <dxfs count="47">
    <dxf>
      <font>
        <color rgb="FF006100"/>
      </font>
      <fill>
        <patternFill>
          <bgColor rgb="FFC6EFCE"/>
        </patternFill>
      </fill>
    </dxf>
    <dxf>
      <font>
        <color rgb="FF9C0006"/>
      </font>
      <fill>
        <patternFill>
          <bgColor rgb="FFFFC7CE"/>
        </patternFill>
      </fill>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9C0006"/>
      </font>
    </dxf>
    <dxf>
      <font>
        <color rgb="FF00B05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s>
  <tableStyles count="0" defaultTableStyle="TableStyleMedium2" defaultPivotStyle="PivotStyleLight16"/>
  <colors>
    <mruColors>
      <color rgb="FFFFFFCC"/>
      <color rgb="FFFFFF99"/>
      <color rgb="FFCCCCFF"/>
      <color rgb="FFCCFFFF"/>
      <color rgb="FF99FFCC"/>
      <color rgb="FFCCECFF"/>
      <color rgb="FF66FF99"/>
      <color rgb="FF9A009A"/>
      <color rgb="FFFFE6FF"/>
      <color rgb="FFFF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112202</xdr:colOff>
      <xdr:row>0</xdr:row>
      <xdr:rowOff>133350</xdr:rowOff>
    </xdr:from>
    <xdr:to>
      <xdr:col>0</xdr:col>
      <xdr:colOff>571499</xdr:colOff>
      <xdr:row>6</xdr:row>
      <xdr:rowOff>21807</xdr:rowOff>
    </xdr:to>
    <xdr:pic>
      <xdr:nvPicPr>
        <xdr:cNvPr id="2" name="Image 1">
          <a:extLst>
            <a:ext uri="{FF2B5EF4-FFF2-40B4-BE49-F238E27FC236}">
              <a16:creationId xmlns:a16="http://schemas.microsoft.com/office/drawing/2014/main" id="{CF4C279F-9E7C-FB49-3611-BF9F509103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202" y="133350"/>
          <a:ext cx="459297" cy="1479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63499</xdr:colOff>
      <xdr:row>0</xdr:row>
      <xdr:rowOff>64823</xdr:rowOff>
    </xdr:from>
    <xdr:to>
      <xdr:col>0</xdr:col>
      <xdr:colOff>316403</xdr:colOff>
      <xdr:row>3</xdr:row>
      <xdr:rowOff>33073</xdr:rowOff>
    </xdr:to>
    <xdr:pic>
      <xdr:nvPicPr>
        <xdr:cNvPr id="2" name="Image 1">
          <a:extLst>
            <a:ext uri="{FF2B5EF4-FFF2-40B4-BE49-F238E27FC236}">
              <a16:creationId xmlns:a16="http://schemas.microsoft.com/office/drawing/2014/main" id="{9DBDA863-D9E9-48D7-9F6C-11A0751F24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99" y="64823"/>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647700</xdr:colOff>
      <xdr:row>7</xdr:row>
      <xdr:rowOff>276225</xdr:rowOff>
    </xdr:from>
    <xdr:to>
      <xdr:col>6</xdr:col>
      <xdr:colOff>647700</xdr:colOff>
      <xdr:row>10</xdr:row>
      <xdr:rowOff>28575</xdr:rowOff>
    </xdr:to>
    <xdr:cxnSp macro="">
      <xdr:nvCxnSpPr>
        <xdr:cNvPr id="3" name="Connecteur droit avec flèche 2">
          <a:extLst>
            <a:ext uri="{FF2B5EF4-FFF2-40B4-BE49-F238E27FC236}">
              <a16:creationId xmlns:a16="http://schemas.microsoft.com/office/drawing/2014/main" id="{A747A2A3-A809-4BE5-88CF-7FCB9DE5A252}"/>
            </a:ext>
          </a:extLst>
        </xdr:cNvPr>
        <xdr:cNvCxnSpPr/>
      </xdr:nvCxnSpPr>
      <xdr:spPr>
        <a:xfrm flipH="1">
          <a:off x="4743450" y="2276475"/>
          <a:ext cx="0" cy="609600"/>
        </a:xfrm>
        <a:prstGeom prst="straightConnector1">
          <a:avLst/>
        </a:prstGeom>
        <a:ln>
          <a:solidFill>
            <a:srgbClr val="7030A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68811</xdr:colOff>
      <xdr:row>0</xdr:row>
      <xdr:rowOff>95250</xdr:rowOff>
    </xdr:from>
    <xdr:to>
      <xdr:col>0</xdr:col>
      <xdr:colOff>321715</xdr:colOff>
      <xdr:row>3</xdr:row>
      <xdr:rowOff>63500</xdr:rowOff>
    </xdr:to>
    <xdr:pic>
      <xdr:nvPicPr>
        <xdr:cNvPr id="2" name="Image 1">
          <a:extLst>
            <a:ext uri="{FF2B5EF4-FFF2-40B4-BE49-F238E27FC236}">
              <a16:creationId xmlns:a16="http://schemas.microsoft.com/office/drawing/2014/main" id="{67509BBE-A041-48F0-8FF8-80FF7AEF05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811" y="95250"/>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52915</xdr:colOff>
      <xdr:row>0</xdr:row>
      <xdr:rowOff>63500</xdr:rowOff>
    </xdr:from>
    <xdr:to>
      <xdr:col>0</xdr:col>
      <xdr:colOff>305819</xdr:colOff>
      <xdr:row>3</xdr:row>
      <xdr:rowOff>31750</xdr:rowOff>
    </xdr:to>
    <xdr:pic>
      <xdr:nvPicPr>
        <xdr:cNvPr id="2" name="Image 1">
          <a:extLst>
            <a:ext uri="{FF2B5EF4-FFF2-40B4-BE49-F238E27FC236}">
              <a16:creationId xmlns:a16="http://schemas.microsoft.com/office/drawing/2014/main" id="{D857ABE0-8F9B-4C05-87E5-4062661D0A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915" y="63500"/>
          <a:ext cx="252904" cy="825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ASCH\Daten_neu\Tabellen_zur_Kontrolle\SfproE\SfproE_nach_Kantonen_mit_Formeln-200911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fs003san\GEO_DATA_M\Pfister\Datenauswertung2006ff\Auswertungen10\SfproE10\Berechnungen_10\SfproE_nach_Kantonen_mit_Formeln-20091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nwerte_Release"/>
      <sheetName val="Kantone SfproE 2004-09"/>
      <sheetName val="Kantone SfproE 1992-97"/>
      <sheetName val="Kantone SfproE 1979-85"/>
      <sheetName val="Differenzen"/>
      <sheetName val="SiedProEinw09_Kt_091110"/>
      <sheetName val="Perimeter"/>
      <sheetName val="NOAS04-Siedlung-d"/>
      <sheetName val="NOAS04-habitat-f"/>
    </sheetNames>
    <sheetDataSet>
      <sheetData sheetId="0" refreshError="1"/>
      <sheetData sheetId="1">
        <row r="22">
          <cell r="A22">
            <v>1</v>
          </cell>
          <cell r="B22" t="str">
            <v>Zürich</v>
          </cell>
          <cell r="C22" t="str">
            <v>...</v>
          </cell>
          <cell r="D22" t="str">
            <v>...</v>
          </cell>
          <cell r="E22" t="str">
            <v>...</v>
          </cell>
          <cell r="F22" t="str">
            <v>...</v>
          </cell>
          <cell r="G22" t="str">
            <v>...</v>
          </cell>
          <cell r="H22" t="str">
            <v>...</v>
          </cell>
          <cell r="I22" t="str">
            <v>...</v>
          </cell>
          <cell r="J22" t="str">
            <v>...</v>
          </cell>
          <cell r="L22" t="str">
            <v>...</v>
          </cell>
          <cell r="M22"/>
        </row>
        <row r="23">
          <cell r="A23">
            <v>2</v>
          </cell>
          <cell r="B23" t="str">
            <v>Bern</v>
          </cell>
          <cell r="C23" t="str">
            <v>2004/07</v>
          </cell>
          <cell r="D23">
            <v>427.92</v>
          </cell>
          <cell r="E23">
            <v>30.57</v>
          </cell>
          <cell r="F23">
            <v>216.53</v>
          </cell>
          <cell r="G23">
            <v>137.81</v>
          </cell>
          <cell r="H23">
            <v>18.95</v>
          </cell>
          <cell r="I23">
            <v>24.06</v>
          </cell>
          <cell r="J23">
            <v>962755</v>
          </cell>
          <cell r="L23">
            <v>427.91999999999996</v>
          </cell>
          <cell r="M23">
            <v>-5.6843418860808015E-14</v>
          </cell>
        </row>
        <row r="24">
          <cell r="A24">
            <v>3</v>
          </cell>
          <cell r="B24" t="str">
            <v>Luzern</v>
          </cell>
          <cell r="C24" t="str">
            <v>2006/07</v>
          </cell>
          <cell r="D24">
            <v>398.67</v>
          </cell>
          <cell r="E24">
            <v>37.03</v>
          </cell>
          <cell r="F24">
            <v>198.74</v>
          </cell>
          <cell r="G24">
            <v>117.2</v>
          </cell>
          <cell r="H24">
            <v>22.5</v>
          </cell>
          <cell r="I24">
            <v>23.2</v>
          </cell>
          <cell r="J24">
            <v>360824</v>
          </cell>
          <cell r="L24">
            <v>398.67</v>
          </cell>
          <cell r="M24">
            <v>0</v>
          </cell>
        </row>
        <row r="25">
          <cell r="A25">
            <v>4</v>
          </cell>
          <cell r="B25" t="str">
            <v>Uri</v>
          </cell>
          <cell r="C25" t="str">
            <v>...</v>
          </cell>
          <cell r="D25" t="str">
            <v>...</v>
          </cell>
          <cell r="E25" t="str">
            <v>...</v>
          </cell>
          <cell r="F25" t="str">
            <v>...</v>
          </cell>
          <cell r="G25" t="str">
            <v>...</v>
          </cell>
          <cell r="H25" t="str">
            <v>...</v>
          </cell>
          <cell r="I25" t="str">
            <v>...</v>
          </cell>
          <cell r="J25" t="str">
            <v>...</v>
          </cell>
          <cell r="L25" t="str">
            <v>...</v>
          </cell>
          <cell r="M25"/>
        </row>
        <row r="26">
          <cell r="A26">
            <v>5</v>
          </cell>
          <cell r="B26" t="str">
            <v>Schwyz</v>
          </cell>
          <cell r="C26" t="str">
            <v>...</v>
          </cell>
          <cell r="D26" t="str">
            <v>...</v>
          </cell>
          <cell r="E26" t="str">
            <v>...</v>
          </cell>
          <cell r="F26" t="str">
            <v>...</v>
          </cell>
          <cell r="G26" t="str">
            <v>...</v>
          </cell>
          <cell r="H26" t="str">
            <v>...</v>
          </cell>
          <cell r="I26" t="str">
            <v>...</v>
          </cell>
          <cell r="J26" t="str">
            <v>...</v>
          </cell>
          <cell r="L26" t="str">
            <v>...</v>
          </cell>
          <cell r="M26"/>
        </row>
        <row r="27">
          <cell r="A27">
            <v>6</v>
          </cell>
          <cell r="B27" t="str">
            <v>Obwalden</v>
          </cell>
          <cell r="C27" t="str">
            <v>2006/07</v>
          </cell>
          <cell r="D27">
            <v>556.89</v>
          </cell>
          <cell r="E27">
            <v>32.01</v>
          </cell>
          <cell r="F27">
            <v>258.74</v>
          </cell>
          <cell r="G27">
            <v>196.2</v>
          </cell>
          <cell r="H27">
            <v>38.53</v>
          </cell>
          <cell r="I27">
            <v>31.42</v>
          </cell>
          <cell r="J27">
            <v>33741</v>
          </cell>
          <cell r="L27">
            <v>556.9</v>
          </cell>
          <cell r="M27">
            <v>9.9999999999909051E-3</v>
          </cell>
        </row>
        <row r="28">
          <cell r="A28">
            <v>7</v>
          </cell>
          <cell r="B28" t="str">
            <v>Nidwalden</v>
          </cell>
          <cell r="C28">
            <v>2007</v>
          </cell>
          <cell r="D28">
            <v>374.56</v>
          </cell>
          <cell r="E28">
            <v>29.32</v>
          </cell>
          <cell r="F28">
            <v>185.51</v>
          </cell>
          <cell r="G28">
            <v>119.55</v>
          </cell>
          <cell r="H28">
            <v>23.25</v>
          </cell>
          <cell r="I28">
            <v>16.93</v>
          </cell>
          <cell r="J28">
            <v>39566</v>
          </cell>
          <cell r="L28">
            <v>374.56</v>
          </cell>
          <cell r="M28">
            <v>0</v>
          </cell>
        </row>
        <row r="29">
          <cell r="A29">
            <v>8</v>
          </cell>
          <cell r="B29" t="str">
            <v>Glarus</v>
          </cell>
          <cell r="C29" t="str">
            <v>...</v>
          </cell>
          <cell r="D29" t="str">
            <v>...</v>
          </cell>
          <cell r="E29" t="str">
            <v>...</v>
          </cell>
          <cell r="F29" t="str">
            <v>...</v>
          </cell>
          <cell r="G29" t="str">
            <v>...</v>
          </cell>
          <cell r="H29" t="str">
            <v>...</v>
          </cell>
          <cell r="I29" t="str">
            <v>...</v>
          </cell>
          <cell r="J29" t="str">
            <v>...</v>
          </cell>
          <cell r="L29" t="str">
            <v>...</v>
          </cell>
          <cell r="M29"/>
        </row>
        <row r="30">
          <cell r="A30">
            <v>9</v>
          </cell>
          <cell r="B30" t="str">
            <v>Zug</v>
          </cell>
          <cell r="C30" t="str">
            <v>...</v>
          </cell>
          <cell r="D30" t="str">
            <v>...</v>
          </cell>
          <cell r="E30" t="str">
            <v>...</v>
          </cell>
          <cell r="F30" t="str">
            <v>...</v>
          </cell>
          <cell r="G30" t="str">
            <v>...</v>
          </cell>
          <cell r="H30" t="str">
            <v>...</v>
          </cell>
          <cell r="I30" t="str">
            <v>...</v>
          </cell>
          <cell r="J30" t="str">
            <v>...</v>
          </cell>
          <cell r="L30" t="str">
            <v>...</v>
          </cell>
          <cell r="M30"/>
        </row>
        <row r="31">
          <cell r="A31">
            <v>10</v>
          </cell>
          <cell r="B31" t="str">
            <v>Fribourg</v>
          </cell>
          <cell r="C31" t="str">
            <v>2004/05</v>
          </cell>
          <cell r="D31">
            <v>555.5</v>
          </cell>
          <cell r="E31">
            <v>35.880000000000003</v>
          </cell>
          <cell r="F31">
            <v>278.17</v>
          </cell>
          <cell r="G31">
            <v>180.64</v>
          </cell>
          <cell r="H31">
            <v>31.08</v>
          </cell>
          <cell r="I31">
            <v>29.73</v>
          </cell>
          <cell r="J31">
            <v>251936</v>
          </cell>
          <cell r="L31">
            <v>555.5</v>
          </cell>
          <cell r="M31">
            <v>0</v>
          </cell>
        </row>
        <row r="32">
          <cell r="A32">
            <v>11</v>
          </cell>
          <cell r="B32" t="str">
            <v>Solothurn</v>
          </cell>
          <cell r="C32" t="str">
            <v>2005/06</v>
          </cell>
          <cell r="D32">
            <v>443.16</v>
          </cell>
          <cell r="E32">
            <v>44.7</v>
          </cell>
          <cell r="F32">
            <v>224.96</v>
          </cell>
          <cell r="G32">
            <v>123.42</v>
          </cell>
          <cell r="H32">
            <v>23.91</v>
          </cell>
          <cell r="I32">
            <v>26.17</v>
          </cell>
          <cell r="J32">
            <v>247200</v>
          </cell>
          <cell r="L32">
            <v>443.16000000000008</v>
          </cell>
          <cell r="M32">
            <v>5.6843418860808015E-14</v>
          </cell>
        </row>
        <row r="33">
          <cell r="A33">
            <v>12</v>
          </cell>
          <cell r="B33" t="str">
            <v>Basel-Stadt</v>
          </cell>
          <cell r="C33">
            <v>2005</v>
          </cell>
          <cell r="D33">
            <v>137.93</v>
          </cell>
          <cell r="E33">
            <v>12.91</v>
          </cell>
          <cell r="F33">
            <v>68.75</v>
          </cell>
          <cell r="G33">
            <v>34.69</v>
          </cell>
          <cell r="H33">
            <v>3.73</v>
          </cell>
          <cell r="I33">
            <v>17.84</v>
          </cell>
          <cell r="J33">
            <v>190536</v>
          </cell>
          <cell r="L33">
            <v>137.91999999999999</v>
          </cell>
          <cell r="M33">
            <v>-1.0000000000019327E-2</v>
          </cell>
        </row>
        <row r="34">
          <cell r="A34">
            <v>13</v>
          </cell>
          <cell r="B34" t="str">
            <v>Basel-Landschaft</v>
          </cell>
          <cell r="C34" t="str">
            <v>2005/06</v>
          </cell>
          <cell r="D34">
            <v>340.42</v>
          </cell>
          <cell r="E34">
            <v>36.78</v>
          </cell>
          <cell r="F34">
            <v>173.72</v>
          </cell>
          <cell r="G34">
            <v>90.88</v>
          </cell>
          <cell r="H34">
            <v>15.39</v>
          </cell>
          <cell r="I34">
            <v>23.65</v>
          </cell>
          <cell r="J34">
            <v>265083</v>
          </cell>
          <cell r="L34">
            <v>340.41999999999996</v>
          </cell>
          <cell r="M34">
            <v>-5.6843418860808015E-14</v>
          </cell>
        </row>
        <row r="35">
          <cell r="A35">
            <v>14</v>
          </cell>
          <cell r="B35" t="str">
            <v>Schaffhausen</v>
          </cell>
          <cell r="C35" t="str">
            <v>...</v>
          </cell>
          <cell r="D35" t="str">
            <v>...</v>
          </cell>
          <cell r="E35" t="str">
            <v>...</v>
          </cell>
          <cell r="F35" t="str">
            <v>...</v>
          </cell>
          <cell r="G35" t="str">
            <v>...</v>
          </cell>
          <cell r="H35" t="str">
            <v>...</v>
          </cell>
          <cell r="I35" t="str">
            <v>...</v>
          </cell>
          <cell r="J35" t="str">
            <v>...</v>
          </cell>
          <cell r="L35" t="str">
            <v>...</v>
          </cell>
          <cell r="M35"/>
        </row>
        <row r="36">
          <cell r="A36">
            <v>15</v>
          </cell>
          <cell r="B36" t="str">
            <v>Appenzell Ausserrhoden</v>
          </cell>
          <cell r="C36" t="str">
            <v>...</v>
          </cell>
          <cell r="D36" t="str">
            <v>...</v>
          </cell>
          <cell r="E36" t="str">
            <v>...</v>
          </cell>
          <cell r="F36" t="str">
            <v>...</v>
          </cell>
          <cell r="G36" t="str">
            <v>...</v>
          </cell>
          <cell r="H36" t="str">
            <v>...</v>
          </cell>
          <cell r="I36" t="str">
            <v>...</v>
          </cell>
          <cell r="J36" t="str">
            <v>...</v>
          </cell>
          <cell r="L36" t="str">
            <v>...</v>
          </cell>
          <cell r="M36"/>
        </row>
        <row r="37">
          <cell r="A37">
            <v>16</v>
          </cell>
          <cell r="B37" t="str">
            <v>Appenzell Innerrhoden</v>
          </cell>
          <cell r="C37" t="str">
            <v>...</v>
          </cell>
          <cell r="D37" t="str">
            <v>...</v>
          </cell>
          <cell r="E37" t="str">
            <v>...</v>
          </cell>
          <cell r="F37" t="str">
            <v>...</v>
          </cell>
          <cell r="G37" t="str">
            <v>...</v>
          </cell>
          <cell r="H37" t="str">
            <v>...</v>
          </cell>
          <cell r="I37" t="str">
            <v>...</v>
          </cell>
          <cell r="J37" t="str">
            <v>...</v>
          </cell>
          <cell r="L37" t="str">
            <v>...</v>
          </cell>
          <cell r="M37"/>
        </row>
        <row r="38">
          <cell r="A38">
            <v>17</v>
          </cell>
          <cell r="B38" t="str">
            <v>St. Gallen</v>
          </cell>
          <cell r="C38" t="str">
            <v>...</v>
          </cell>
          <cell r="D38" t="str">
            <v>...</v>
          </cell>
          <cell r="E38" t="str">
            <v>...</v>
          </cell>
          <cell r="F38" t="str">
            <v>...</v>
          </cell>
          <cell r="G38" t="str">
            <v>...</v>
          </cell>
          <cell r="H38" t="str">
            <v>...</v>
          </cell>
          <cell r="I38" t="str">
            <v>...</v>
          </cell>
          <cell r="J38" t="str">
            <v>...</v>
          </cell>
          <cell r="L38" t="str">
            <v>...</v>
          </cell>
          <cell r="M38"/>
        </row>
        <row r="39">
          <cell r="A39">
            <v>18</v>
          </cell>
          <cell r="B39" t="str">
            <v>Graubünden</v>
          </cell>
          <cell r="C39" t="str">
            <v>...</v>
          </cell>
          <cell r="D39" t="str">
            <v>...</v>
          </cell>
          <cell r="E39" t="str">
            <v>...</v>
          </cell>
          <cell r="F39" t="str">
            <v>...</v>
          </cell>
          <cell r="G39" t="str">
            <v>...</v>
          </cell>
          <cell r="H39" t="str">
            <v>...</v>
          </cell>
          <cell r="I39" t="str">
            <v>...</v>
          </cell>
          <cell r="J39" t="str">
            <v>...</v>
          </cell>
          <cell r="L39" t="str">
            <v>...</v>
          </cell>
          <cell r="M39"/>
        </row>
        <row r="40">
          <cell r="A40">
            <v>19</v>
          </cell>
          <cell r="B40" t="str">
            <v>Aargau</v>
          </cell>
          <cell r="C40" t="str">
            <v>2006/07</v>
          </cell>
          <cell r="D40">
            <v>413.82</v>
          </cell>
          <cell r="E40">
            <v>42.07</v>
          </cell>
          <cell r="F40">
            <v>208.93</v>
          </cell>
          <cell r="G40">
            <v>117.37</v>
          </cell>
          <cell r="H40">
            <v>25.55</v>
          </cell>
          <cell r="I40">
            <v>19.899999999999999</v>
          </cell>
          <cell r="J40">
            <v>576457</v>
          </cell>
          <cell r="L40">
            <v>413.82</v>
          </cell>
          <cell r="M40">
            <v>0</v>
          </cell>
        </row>
        <row r="41">
          <cell r="A41">
            <v>20</v>
          </cell>
          <cell r="B41" t="str">
            <v>Thurgau</v>
          </cell>
          <cell r="C41" t="str">
            <v>...</v>
          </cell>
          <cell r="D41" t="str">
            <v>...</v>
          </cell>
          <cell r="E41" t="str">
            <v>...</v>
          </cell>
          <cell r="F41" t="str">
            <v>...</v>
          </cell>
          <cell r="G41" t="str">
            <v>...</v>
          </cell>
          <cell r="H41" t="str">
            <v>...</v>
          </cell>
          <cell r="I41" t="str">
            <v>...</v>
          </cell>
          <cell r="J41" t="str">
            <v>...</v>
          </cell>
          <cell r="L41" t="str">
            <v>...</v>
          </cell>
          <cell r="M41"/>
        </row>
        <row r="42">
          <cell r="A42">
            <v>21</v>
          </cell>
          <cell r="B42" t="str">
            <v>Ticino</v>
          </cell>
          <cell r="C42" t="str">
            <v>...</v>
          </cell>
          <cell r="D42" t="str">
            <v>...</v>
          </cell>
          <cell r="E42" t="str">
            <v>...</v>
          </cell>
          <cell r="F42" t="str">
            <v>...</v>
          </cell>
          <cell r="G42" t="str">
            <v>...</v>
          </cell>
          <cell r="H42" t="str">
            <v>...</v>
          </cell>
          <cell r="I42" t="str">
            <v>...</v>
          </cell>
          <cell r="J42" t="str">
            <v>...</v>
          </cell>
          <cell r="L42" t="str">
            <v>...</v>
          </cell>
          <cell r="M42"/>
        </row>
        <row r="43">
          <cell r="A43">
            <v>22</v>
          </cell>
          <cell r="B43" t="str">
            <v>Vaud</v>
          </cell>
          <cell r="C43" t="str">
            <v>2004/05</v>
          </cell>
          <cell r="D43">
            <v>454.97</v>
          </cell>
          <cell r="E43">
            <v>28.08</v>
          </cell>
          <cell r="F43">
            <v>218.5</v>
          </cell>
          <cell r="G43">
            <v>153.69</v>
          </cell>
          <cell r="H43">
            <v>21.99</v>
          </cell>
          <cell r="I43">
            <v>32.71</v>
          </cell>
          <cell r="J43">
            <v>658127</v>
          </cell>
          <cell r="L43">
            <v>454.96999999999997</v>
          </cell>
          <cell r="M43">
            <v>-5.6843418860808015E-14</v>
          </cell>
        </row>
        <row r="44">
          <cell r="A44">
            <v>23</v>
          </cell>
          <cell r="B44" t="str">
            <v>Valais</v>
          </cell>
          <cell r="C44" t="str">
            <v>...</v>
          </cell>
          <cell r="D44" t="str">
            <v>...</v>
          </cell>
          <cell r="E44" t="str">
            <v>...</v>
          </cell>
          <cell r="F44" t="str">
            <v>...</v>
          </cell>
          <cell r="G44" t="str">
            <v>...</v>
          </cell>
          <cell r="H44" t="str">
            <v>...</v>
          </cell>
          <cell r="I44" t="str">
            <v>...</v>
          </cell>
          <cell r="J44" t="str">
            <v>...</v>
          </cell>
          <cell r="L44" t="str">
            <v>...</v>
          </cell>
          <cell r="M44"/>
        </row>
        <row r="45">
          <cell r="A45">
            <v>24</v>
          </cell>
          <cell r="B45" t="str">
            <v>Neuchâtel</v>
          </cell>
          <cell r="C45" t="str">
            <v>2004/05</v>
          </cell>
          <cell r="D45">
            <v>397.33</v>
          </cell>
          <cell r="E45">
            <v>32.549999999999997</v>
          </cell>
          <cell r="F45">
            <v>188.32</v>
          </cell>
          <cell r="G45">
            <v>124.4</v>
          </cell>
          <cell r="H45">
            <v>22.59</v>
          </cell>
          <cell r="I45">
            <v>29.47</v>
          </cell>
          <cell r="J45">
            <v>168649</v>
          </cell>
          <cell r="L45">
            <v>397.32999999999993</v>
          </cell>
          <cell r="M45">
            <v>-5.6843418860808015E-14</v>
          </cell>
        </row>
        <row r="46">
          <cell r="A46">
            <v>25</v>
          </cell>
          <cell r="B46" t="str">
            <v>Genève</v>
          </cell>
          <cell r="C46">
            <v>2004</v>
          </cell>
          <cell r="D46">
            <v>217.82</v>
          </cell>
          <cell r="E46">
            <v>14.25</v>
          </cell>
          <cell r="F46">
            <v>119.36</v>
          </cell>
          <cell r="G46">
            <v>55.46</v>
          </cell>
          <cell r="H46">
            <v>9.1199999999999992</v>
          </cell>
          <cell r="I46">
            <v>19.64</v>
          </cell>
          <cell r="J46">
            <v>432235</v>
          </cell>
          <cell r="L46">
            <v>217.83000000000004</v>
          </cell>
          <cell r="M46">
            <v>1.0000000000047748E-2</v>
          </cell>
        </row>
        <row r="47">
          <cell r="A47">
            <v>26</v>
          </cell>
          <cell r="B47" t="str">
            <v>Jura</v>
          </cell>
          <cell r="C47">
            <v>2005</v>
          </cell>
          <cell r="D47">
            <v>826.98</v>
          </cell>
          <cell r="E47">
            <v>52.73</v>
          </cell>
          <cell r="F47">
            <v>382.04</v>
          </cell>
          <cell r="G47">
            <v>289.99</v>
          </cell>
          <cell r="H47">
            <v>65.540000000000006</v>
          </cell>
          <cell r="I47">
            <v>36.67</v>
          </cell>
          <cell r="J47">
            <v>67898</v>
          </cell>
          <cell r="L47">
            <v>826.96999999999991</v>
          </cell>
          <cell r="M47">
            <v>-1.0000000000104592E-2</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nnwerte_Release"/>
      <sheetName val="Kantone SfproE 2004-09"/>
      <sheetName val="Kantone SfproE 1992-97"/>
      <sheetName val="Kantone SfproE 1979-85"/>
      <sheetName val="Differenzen"/>
      <sheetName val="SiedProEinw09_Kt_091110"/>
      <sheetName val="Perimeter"/>
      <sheetName val="NOAS04-Siedlung-d"/>
      <sheetName val="NOAS04-habitat-f"/>
    </sheetNames>
    <sheetDataSet>
      <sheetData sheetId="0" refreshError="1"/>
      <sheetData sheetId="1">
        <row r="22">
          <cell r="A22">
            <v>1</v>
          </cell>
          <cell r="B22" t="str">
            <v>Zürich</v>
          </cell>
          <cell r="C22" t="str">
            <v>...</v>
          </cell>
          <cell r="D22" t="str">
            <v>...</v>
          </cell>
          <cell r="E22" t="str">
            <v>...</v>
          </cell>
          <cell r="F22" t="str">
            <v>...</v>
          </cell>
          <cell r="G22" t="str">
            <v>...</v>
          </cell>
          <cell r="H22" t="str">
            <v>...</v>
          </cell>
          <cell r="I22" t="str">
            <v>...</v>
          </cell>
          <cell r="J22" t="str">
            <v>...</v>
          </cell>
          <cell r="L22" t="str">
            <v>...</v>
          </cell>
          <cell r="M22"/>
        </row>
        <row r="23">
          <cell r="A23">
            <v>2</v>
          </cell>
          <cell r="B23" t="str">
            <v>Bern</v>
          </cell>
          <cell r="C23" t="str">
            <v>2004/07</v>
          </cell>
          <cell r="D23">
            <v>427.92</v>
          </cell>
          <cell r="E23">
            <v>30.57</v>
          </cell>
          <cell r="F23">
            <v>216.53</v>
          </cell>
          <cell r="G23">
            <v>137.81</v>
          </cell>
          <cell r="H23">
            <v>18.95</v>
          </cell>
          <cell r="I23">
            <v>24.06</v>
          </cell>
          <cell r="J23">
            <v>962755</v>
          </cell>
          <cell r="L23">
            <v>427.91999999999996</v>
          </cell>
          <cell r="M23">
            <v>-5.6843418860808015E-14</v>
          </cell>
        </row>
        <row r="24">
          <cell r="A24">
            <v>3</v>
          </cell>
          <cell r="B24" t="str">
            <v>Luzern</v>
          </cell>
          <cell r="C24" t="str">
            <v>2006/07</v>
          </cell>
          <cell r="D24">
            <v>398.67</v>
          </cell>
          <cell r="E24">
            <v>37.03</v>
          </cell>
          <cell r="F24">
            <v>198.74</v>
          </cell>
          <cell r="G24">
            <v>117.2</v>
          </cell>
          <cell r="H24">
            <v>22.5</v>
          </cell>
          <cell r="I24">
            <v>23.2</v>
          </cell>
          <cell r="J24">
            <v>360824</v>
          </cell>
          <cell r="L24">
            <v>398.67</v>
          </cell>
          <cell r="M24">
            <v>0</v>
          </cell>
        </row>
        <row r="25">
          <cell r="A25">
            <v>4</v>
          </cell>
          <cell r="B25" t="str">
            <v>Uri</v>
          </cell>
          <cell r="C25" t="str">
            <v>...</v>
          </cell>
          <cell r="D25" t="str">
            <v>...</v>
          </cell>
          <cell r="E25" t="str">
            <v>...</v>
          </cell>
          <cell r="F25" t="str">
            <v>...</v>
          </cell>
          <cell r="G25" t="str">
            <v>...</v>
          </cell>
          <cell r="H25" t="str">
            <v>...</v>
          </cell>
          <cell r="I25" t="str">
            <v>...</v>
          </cell>
          <cell r="J25" t="str">
            <v>...</v>
          </cell>
          <cell r="L25" t="str">
            <v>...</v>
          </cell>
          <cell r="M25"/>
        </row>
        <row r="26">
          <cell r="A26">
            <v>5</v>
          </cell>
          <cell r="B26" t="str">
            <v>Schwyz</v>
          </cell>
          <cell r="C26" t="str">
            <v>...</v>
          </cell>
          <cell r="D26" t="str">
            <v>...</v>
          </cell>
          <cell r="E26" t="str">
            <v>...</v>
          </cell>
          <cell r="F26" t="str">
            <v>...</v>
          </cell>
          <cell r="G26" t="str">
            <v>...</v>
          </cell>
          <cell r="H26" t="str">
            <v>...</v>
          </cell>
          <cell r="I26" t="str">
            <v>...</v>
          </cell>
          <cell r="J26" t="str">
            <v>...</v>
          </cell>
          <cell r="L26" t="str">
            <v>...</v>
          </cell>
          <cell r="M26"/>
        </row>
        <row r="27">
          <cell r="A27">
            <v>6</v>
          </cell>
          <cell r="B27" t="str">
            <v>Obwalden</v>
          </cell>
          <cell r="C27" t="str">
            <v>2006/07</v>
          </cell>
          <cell r="D27">
            <v>556.89</v>
          </cell>
          <cell r="E27">
            <v>32.01</v>
          </cell>
          <cell r="F27">
            <v>258.74</v>
          </cell>
          <cell r="G27">
            <v>196.2</v>
          </cell>
          <cell r="H27">
            <v>38.53</v>
          </cell>
          <cell r="I27">
            <v>31.42</v>
          </cell>
          <cell r="J27">
            <v>33741</v>
          </cell>
          <cell r="L27">
            <v>556.9</v>
          </cell>
          <cell r="M27">
            <v>9.9999999999909051E-3</v>
          </cell>
        </row>
        <row r="28">
          <cell r="A28">
            <v>7</v>
          </cell>
          <cell r="B28" t="str">
            <v>Nidwalden</v>
          </cell>
          <cell r="C28">
            <v>2007</v>
          </cell>
          <cell r="D28">
            <v>374.56</v>
          </cell>
          <cell r="E28">
            <v>29.32</v>
          </cell>
          <cell r="F28">
            <v>185.51</v>
          </cell>
          <cell r="G28">
            <v>119.55</v>
          </cell>
          <cell r="H28">
            <v>23.25</v>
          </cell>
          <cell r="I28">
            <v>16.93</v>
          </cell>
          <cell r="J28">
            <v>39566</v>
          </cell>
          <cell r="L28">
            <v>374.56</v>
          </cell>
          <cell r="M28">
            <v>0</v>
          </cell>
        </row>
        <row r="29">
          <cell r="A29">
            <v>8</v>
          </cell>
          <cell r="B29" t="str">
            <v>Glarus</v>
          </cell>
          <cell r="C29" t="str">
            <v>...</v>
          </cell>
          <cell r="D29" t="str">
            <v>...</v>
          </cell>
          <cell r="E29" t="str">
            <v>...</v>
          </cell>
          <cell r="F29" t="str">
            <v>...</v>
          </cell>
          <cell r="G29" t="str">
            <v>...</v>
          </cell>
          <cell r="H29" t="str">
            <v>...</v>
          </cell>
          <cell r="I29" t="str">
            <v>...</v>
          </cell>
          <cell r="J29" t="str">
            <v>...</v>
          </cell>
          <cell r="L29" t="str">
            <v>...</v>
          </cell>
          <cell r="M29"/>
        </row>
        <row r="30">
          <cell r="A30">
            <v>9</v>
          </cell>
          <cell r="B30" t="str">
            <v>Zug</v>
          </cell>
          <cell r="C30" t="str">
            <v>...</v>
          </cell>
          <cell r="D30" t="str">
            <v>...</v>
          </cell>
          <cell r="E30" t="str">
            <v>...</v>
          </cell>
          <cell r="F30" t="str">
            <v>...</v>
          </cell>
          <cell r="G30" t="str">
            <v>...</v>
          </cell>
          <cell r="H30" t="str">
            <v>...</v>
          </cell>
          <cell r="I30" t="str">
            <v>...</v>
          </cell>
          <cell r="J30" t="str">
            <v>...</v>
          </cell>
          <cell r="L30" t="str">
            <v>...</v>
          </cell>
          <cell r="M30"/>
        </row>
        <row r="31">
          <cell r="A31">
            <v>10</v>
          </cell>
          <cell r="B31" t="str">
            <v>Fribourg</v>
          </cell>
          <cell r="C31" t="str">
            <v>2004/05</v>
          </cell>
          <cell r="D31">
            <v>555.5</v>
          </cell>
          <cell r="E31">
            <v>35.880000000000003</v>
          </cell>
          <cell r="F31">
            <v>278.17</v>
          </cell>
          <cell r="G31">
            <v>180.64</v>
          </cell>
          <cell r="H31">
            <v>31.08</v>
          </cell>
          <cell r="I31">
            <v>29.73</v>
          </cell>
          <cell r="J31">
            <v>251936</v>
          </cell>
          <cell r="L31">
            <v>555.5</v>
          </cell>
          <cell r="M31">
            <v>0</v>
          </cell>
        </row>
        <row r="32">
          <cell r="A32">
            <v>11</v>
          </cell>
          <cell r="B32" t="str">
            <v>Solothurn</v>
          </cell>
          <cell r="C32" t="str">
            <v>2005/06</v>
          </cell>
          <cell r="D32">
            <v>443.16</v>
          </cell>
          <cell r="E32">
            <v>44.7</v>
          </cell>
          <cell r="F32">
            <v>224.96</v>
          </cell>
          <cell r="G32">
            <v>123.42</v>
          </cell>
          <cell r="H32">
            <v>23.91</v>
          </cell>
          <cell r="I32">
            <v>26.17</v>
          </cell>
          <cell r="J32">
            <v>247200</v>
          </cell>
          <cell r="L32">
            <v>443.16000000000008</v>
          </cell>
          <cell r="M32">
            <v>5.6843418860808015E-14</v>
          </cell>
        </row>
        <row r="33">
          <cell r="A33">
            <v>12</v>
          </cell>
          <cell r="B33" t="str">
            <v>Basel-Stadt</v>
          </cell>
          <cell r="C33">
            <v>2005</v>
          </cell>
          <cell r="D33">
            <v>137.93</v>
          </cell>
          <cell r="E33">
            <v>12.91</v>
          </cell>
          <cell r="F33">
            <v>68.75</v>
          </cell>
          <cell r="G33">
            <v>34.69</v>
          </cell>
          <cell r="H33">
            <v>3.73</v>
          </cell>
          <cell r="I33">
            <v>17.84</v>
          </cell>
          <cell r="J33">
            <v>190536</v>
          </cell>
          <cell r="L33">
            <v>137.91999999999999</v>
          </cell>
          <cell r="M33">
            <v>-1.0000000000019327E-2</v>
          </cell>
        </row>
        <row r="34">
          <cell r="A34">
            <v>13</v>
          </cell>
          <cell r="B34" t="str">
            <v>Basel-Landschaft</v>
          </cell>
          <cell r="C34" t="str">
            <v>2005/06</v>
          </cell>
          <cell r="D34">
            <v>340.42</v>
          </cell>
          <cell r="E34">
            <v>36.78</v>
          </cell>
          <cell r="F34">
            <v>173.72</v>
          </cell>
          <cell r="G34">
            <v>90.88</v>
          </cell>
          <cell r="H34">
            <v>15.39</v>
          </cell>
          <cell r="I34">
            <v>23.65</v>
          </cell>
          <cell r="J34">
            <v>265083</v>
          </cell>
          <cell r="L34">
            <v>340.41999999999996</v>
          </cell>
          <cell r="M34">
            <v>-5.6843418860808015E-14</v>
          </cell>
        </row>
        <row r="35">
          <cell r="A35">
            <v>14</v>
          </cell>
          <cell r="B35" t="str">
            <v>Schaffhausen</v>
          </cell>
          <cell r="C35" t="str">
            <v>...</v>
          </cell>
          <cell r="D35" t="str">
            <v>...</v>
          </cell>
          <cell r="E35" t="str">
            <v>...</v>
          </cell>
          <cell r="F35" t="str">
            <v>...</v>
          </cell>
          <cell r="G35" t="str">
            <v>...</v>
          </cell>
          <cell r="H35" t="str">
            <v>...</v>
          </cell>
          <cell r="I35" t="str">
            <v>...</v>
          </cell>
          <cell r="J35" t="str">
            <v>...</v>
          </cell>
          <cell r="L35" t="str">
            <v>...</v>
          </cell>
          <cell r="M35"/>
        </row>
        <row r="36">
          <cell r="A36">
            <v>15</v>
          </cell>
          <cell r="B36" t="str">
            <v>Appenzell Ausserrhoden</v>
          </cell>
          <cell r="C36" t="str">
            <v>...</v>
          </cell>
          <cell r="D36" t="str">
            <v>...</v>
          </cell>
          <cell r="E36" t="str">
            <v>...</v>
          </cell>
          <cell r="F36" t="str">
            <v>...</v>
          </cell>
          <cell r="G36" t="str">
            <v>...</v>
          </cell>
          <cell r="H36" t="str">
            <v>...</v>
          </cell>
          <cell r="I36" t="str">
            <v>...</v>
          </cell>
          <cell r="J36" t="str">
            <v>...</v>
          </cell>
          <cell r="L36" t="str">
            <v>...</v>
          </cell>
          <cell r="M36"/>
        </row>
        <row r="37">
          <cell r="A37">
            <v>16</v>
          </cell>
          <cell r="B37" t="str">
            <v>Appenzell Innerrhoden</v>
          </cell>
          <cell r="C37" t="str">
            <v>...</v>
          </cell>
          <cell r="D37" t="str">
            <v>...</v>
          </cell>
          <cell r="E37" t="str">
            <v>...</v>
          </cell>
          <cell r="F37" t="str">
            <v>...</v>
          </cell>
          <cell r="G37" t="str">
            <v>...</v>
          </cell>
          <cell r="H37" t="str">
            <v>...</v>
          </cell>
          <cell r="I37" t="str">
            <v>...</v>
          </cell>
          <cell r="J37" t="str">
            <v>...</v>
          </cell>
          <cell r="L37" t="str">
            <v>...</v>
          </cell>
          <cell r="M37"/>
        </row>
        <row r="38">
          <cell r="A38">
            <v>17</v>
          </cell>
          <cell r="B38" t="str">
            <v>St. Gallen</v>
          </cell>
          <cell r="C38" t="str">
            <v>...</v>
          </cell>
          <cell r="D38" t="str">
            <v>...</v>
          </cell>
          <cell r="E38" t="str">
            <v>...</v>
          </cell>
          <cell r="F38" t="str">
            <v>...</v>
          </cell>
          <cell r="G38" t="str">
            <v>...</v>
          </cell>
          <cell r="H38" t="str">
            <v>...</v>
          </cell>
          <cell r="I38" t="str">
            <v>...</v>
          </cell>
          <cell r="J38" t="str">
            <v>...</v>
          </cell>
          <cell r="L38" t="str">
            <v>...</v>
          </cell>
          <cell r="M38"/>
        </row>
        <row r="39">
          <cell r="A39">
            <v>18</v>
          </cell>
          <cell r="B39" t="str">
            <v>Graubünden</v>
          </cell>
          <cell r="C39" t="str">
            <v>...</v>
          </cell>
          <cell r="D39" t="str">
            <v>...</v>
          </cell>
          <cell r="E39" t="str">
            <v>...</v>
          </cell>
          <cell r="F39" t="str">
            <v>...</v>
          </cell>
          <cell r="G39" t="str">
            <v>...</v>
          </cell>
          <cell r="H39" t="str">
            <v>...</v>
          </cell>
          <cell r="I39" t="str">
            <v>...</v>
          </cell>
          <cell r="J39" t="str">
            <v>...</v>
          </cell>
          <cell r="L39" t="str">
            <v>...</v>
          </cell>
          <cell r="M39"/>
        </row>
        <row r="40">
          <cell r="A40">
            <v>19</v>
          </cell>
          <cell r="B40" t="str">
            <v>Aargau</v>
          </cell>
          <cell r="C40" t="str">
            <v>2006/07</v>
          </cell>
          <cell r="D40">
            <v>413.82</v>
          </cell>
          <cell r="E40">
            <v>42.07</v>
          </cell>
          <cell r="F40">
            <v>208.93</v>
          </cell>
          <cell r="G40">
            <v>117.37</v>
          </cell>
          <cell r="H40">
            <v>25.55</v>
          </cell>
          <cell r="I40">
            <v>19.899999999999999</v>
          </cell>
          <cell r="J40">
            <v>576457</v>
          </cell>
          <cell r="L40">
            <v>413.82</v>
          </cell>
          <cell r="M40">
            <v>0</v>
          </cell>
        </row>
        <row r="41">
          <cell r="A41">
            <v>20</v>
          </cell>
          <cell r="B41" t="str">
            <v>Thurgau</v>
          </cell>
          <cell r="C41" t="str">
            <v>...</v>
          </cell>
          <cell r="D41" t="str">
            <v>...</v>
          </cell>
          <cell r="E41" t="str">
            <v>...</v>
          </cell>
          <cell r="F41" t="str">
            <v>...</v>
          </cell>
          <cell r="G41" t="str">
            <v>...</v>
          </cell>
          <cell r="H41" t="str">
            <v>...</v>
          </cell>
          <cell r="I41" t="str">
            <v>...</v>
          </cell>
          <cell r="J41" t="str">
            <v>...</v>
          </cell>
          <cell r="L41" t="str">
            <v>...</v>
          </cell>
          <cell r="M41"/>
        </row>
        <row r="42">
          <cell r="A42">
            <v>21</v>
          </cell>
          <cell r="B42" t="str">
            <v>Ticino</v>
          </cell>
          <cell r="C42" t="str">
            <v>...</v>
          </cell>
          <cell r="D42" t="str">
            <v>...</v>
          </cell>
          <cell r="E42" t="str">
            <v>...</v>
          </cell>
          <cell r="F42" t="str">
            <v>...</v>
          </cell>
          <cell r="G42" t="str">
            <v>...</v>
          </cell>
          <cell r="H42" t="str">
            <v>...</v>
          </cell>
          <cell r="I42" t="str">
            <v>...</v>
          </cell>
          <cell r="J42" t="str">
            <v>...</v>
          </cell>
          <cell r="L42" t="str">
            <v>...</v>
          </cell>
          <cell r="M42"/>
        </row>
        <row r="43">
          <cell r="A43">
            <v>22</v>
          </cell>
          <cell r="B43" t="str">
            <v>Vaud</v>
          </cell>
          <cell r="C43" t="str">
            <v>2004/05</v>
          </cell>
          <cell r="D43">
            <v>454.97</v>
          </cell>
          <cell r="E43">
            <v>28.08</v>
          </cell>
          <cell r="F43">
            <v>218.5</v>
          </cell>
          <cell r="G43">
            <v>153.69</v>
          </cell>
          <cell r="H43">
            <v>21.99</v>
          </cell>
          <cell r="I43">
            <v>32.71</v>
          </cell>
          <cell r="J43">
            <v>658127</v>
          </cell>
          <cell r="L43">
            <v>454.96999999999997</v>
          </cell>
          <cell r="M43">
            <v>-5.6843418860808015E-14</v>
          </cell>
        </row>
        <row r="44">
          <cell r="A44">
            <v>23</v>
          </cell>
          <cell r="B44" t="str">
            <v>Valais</v>
          </cell>
          <cell r="C44" t="str">
            <v>...</v>
          </cell>
          <cell r="D44" t="str">
            <v>...</v>
          </cell>
          <cell r="E44" t="str">
            <v>...</v>
          </cell>
          <cell r="F44" t="str">
            <v>...</v>
          </cell>
          <cell r="G44" t="str">
            <v>...</v>
          </cell>
          <cell r="H44" t="str">
            <v>...</v>
          </cell>
          <cell r="I44" t="str">
            <v>...</v>
          </cell>
          <cell r="J44" t="str">
            <v>...</v>
          </cell>
          <cell r="L44" t="str">
            <v>...</v>
          </cell>
          <cell r="M44"/>
        </row>
        <row r="45">
          <cell r="A45">
            <v>24</v>
          </cell>
          <cell r="B45" t="str">
            <v>Neuchâtel</v>
          </cell>
          <cell r="C45" t="str">
            <v>2004/05</v>
          </cell>
          <cell r="D45">
            <v>397.33</v>
          </cell>
          <cell r="E45">
            <v>32.549999999999997</v>
          </cell>
          <cell r="F45">
            <v>188.32</v>
          </cell>
          <cell r="G45">
            <v>124.4</v>
          </cell>
          <cell r="H45">
            <v>22.59</v>
          </cell>
          <cell r="I45">
            <v>29.47</v>
          </cell>
          <cell r="J45">
            <v>168649</v>
          </cell>
          <cell r="L45">
            <v>397.32999999999993</v>
          </cell>
          <cell r="M45">
            <v>-5.6843418860808015E-14</v>
          </cell>
        </row>
        <row r="46">
          <cell r="A46">
            <v>25</v>
          </cell>
          <cell r="B46" t="str">
            <v>Genève</v>
          </cell>
          <cell r="C46">
            <v>2004</v>
          </cell>
          <cell r="D46">
            <v>217.82</v>
          </cell>
          <cell r="E46">
            <v>14.25</v>
          </cell>
          <cell r="F46">
            <v>119.36</v>
          </cell>
          <cell r="G46">
            <v>55.46</v>
          </cell>
          <cell r="H46">
            <v>9.1199999999999992</v>
          </cell>
          <cell r="I46">
            <v>19.64</v>
          </cell>
          <cell r="J46">
            <v>432235</v>
          </cell>
          <cell r="L46">
            <v>217.83000000000004</v>
          </cell>
          <cell r="M46">
            <v>1.0000000000047748E-2</v>
          </cell>
        </row>
        <row r="47">
          <cell r="A47">
            <v>26</v>
          </cell>
          <cell r="B47" t="str">
            <v>Jura</v>
          </cell>
          <cell r="C47">
            <v>2005</v>
          </cell>
          <cell r="D47">
            <v>826.98</v>
          </cell>
          <cell r="E47">
            <v>52.73</v>
          </cell>
          <cell r="F47">
            <v>382.04</v>
          </cell>
          <cell r="G47">
            <v>289.99</v>
          </cell>
          <cell r="H47">
            <v>65.540000000000006</v>
          </cell>
          <cell r="I47">
            <v>36.67</v>
          </cell>
          <cell r="J47">
            <v>67898</v>
          </cell>
          <cell r="L47">
            <v>826.96999999999991</v>
          </cell>
          <cell r="M47">
            <v>-1.0000000000104592E-2</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prestations.vd.ch/pub/blv-publication/actes/consolide/133.05?key=1720013968335&amp;id=ddc5d535-ca80-4174-92ed-43c721ab7e6a" TargetMode="External"/><Relationship Id="rId2" Type="http://schemas.openxmlformats.org/officeDocument/2006/relationships/hyperlink" Target="https://prestations.vd.ch/pub/blv-publication/actes/consolide/850.01?key=1720013904503&amp;id=f297eb49-bbd1-467c-8406-c7b66e735f61" TargetMode="External"/><Relationship Id="rId1" Type="http://schemas.openxmlformats.org/officeDocument/2006/relationships/hyperlink" Target="https://prestations.vd.ch/pub/blv-publication/actes/consolide/175.51?key=1720013782994&amp;id=20d51e33-17a0-42b4-8736-48e5a8461eb3" TargetMode="External"/><Relationship Id="rId6" Type="http://schemas.openxmlformats.org/officeDocument/2006/relationships/printerSettings" Target="../printerSettings/printerSettings2.bin"/><Relationship Id="rId5" Type="http://schemas.openxmlformats.org/officeDocument/2006/relationships/hyperlink" Target="https://prestations.vd.ch/pub/blv-publication/actes/consolide/175.51.1?key=1743582841409&amp;id=2207a7e5-18a5-4fc5-a3f1-bae1f74e19ef" TargetMode="External"/><Relationship Id="rId4" Type="http://schemas.openxmlformats.org/officeDocument/2006/relationships/hyperlink" Target="https://prestations.vd.ch/pub/blv-publication/actes/consolide/175.575?key=1720014030263&amp;id=fced0a6a-7ef6-427e-afb3-3079fd1d731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6E4F5-0333-4B1C-B49D-237F9186EC02}">
  <sheetPr>
    <tabColor rgb="FFCCFFFF"/>
  </sheetPr>
  <dimension ref="B1:E21"/>
  <sheetViews>
    <sheetView tabSelected="1" zoomScaleNormal="100" workbookViewId="0"/>
  </sheetViews>
  <sheetFormatPr baseColWidth="10" defaultColWidth="12.5703125" defaultRowHeight="12.75" x14ac:dyDescent="0.2"/>
  <cols>
    <col min="1" max="1" width="12.5703125" style="87"/>
    <col min="2" max="2" width="41.42578125" style="88" customWidth="1"/>
    <col min="3" max="3" width="74" style="86" customWidth="1"/>
    <col min="4" max="16384" width="12.5703125" style="87"/>
  </cols>
  <sheetData>
    <row r="1" spans="2:5" ht="26.45" customHeight="1" x14ac:dyDescent="0.2">
      <c r="B1" s="95" t="s">
        <v>442</v>
      </c>
    </row>
    <row r="3" spans="2:5" ht="18.75" customHeight="1" x14ac:dyDescent="0.2">
      <c r="B3" s="448" t="s">
        <v>469</v>
      </c>
      <c r="C3" s="448"/>
    </row>
    <row r="4" spans="2:5" ht="22.5" customHeight="1" x14ac:dyDescent="0.2">
      <c r="B4" s="89" t="s">
        <v>397</v>
      </c>
      <c r="C4" s="355" t="s">
        <v>504</v>
      </c>
    </row>
    <row r="5" spans="2:5" ht="22.5" customHeight="1" x14ac:dyDescent="0.2">
      <c r="B5" s="90" t="s">
        <v>468</v>
      </c>
      <c r="C5" s="356" t="s">
        <v>505</v>
      </c>
    </row>
    <row r="6" spans="2:5" ht="22.5" customHeight="1" x14ac:dyDescent="0.25">
      <c r="B6" s="91" t="s">
        <v>65</v>
      </c>
      <c r="C6" s="357" t="s">
        <v>506</v>
      </c>
      <c r="E6"/>
    </row>
    <row r="7" spans="2:5" ht="12" customHeight="1" x14ac:dyDescent="0.2">
      <c r="C7" s="358"/>
    </row>
    <row r="8" spans="2:5" ht="18.75" customHeight="1" x14ac:dyDescent="0.2">
      <c r="B8" s="448" t="s">
        <v>477</v>
      </c>
      <c r="C8" s="448"/>
    </row>
    <row r="9" spans="2:5" ht="33.75" customHeight="1" x14ac:dyDescent="0.2">
      <c r="B9" s="92" t="s">
        <v>2</v>
      </c>
      <c r="C9" s="359" t="s">
        <v>526</v>
      </c>
    </row>
    <row r="10" spans="2:5" ht="33.75" customHeight="1" x14ac:dyDescent="0.2">
      <c r="B10" s="93" t="s">
        <v>32</v>
      </c>
      <c r="C10" s="360" t="s">
        <v>607</v>
      </c>
    </row>
    <row r="11" spans="2:5" ht="45" customHeight="1" x14ac:dyDescent="0.2">
      <c r="B11" s="94" t="s">
        <v>466</v>
      </c>
      <c r="C11" s="361" t="s">
        <v>555</v>
      </c>
    </row>
    <row r="12" spans="2:5" ht="12" customHeight="1" x14ac:dyDescent="0.2">
      <c r="C12" s="358"/>
    </row>
    <row r="13" spans="2:5" ht="18.75" customHeight="1" x14ac:dyDescent="0.2">
      <c r="B13" s="448" t="s">
        <v>444</v>
      </c>
      <c r="C13" s="448"/>
    </row>
    <row r="14" spans="2:5" ht="33.75" customHeight="1" x14ac:dyDescent="0.2">
      <c r="B14" s="218" t="s">
        <v>34</v>
      </c>
      <c r="C14" s="362" t="s">
        <v>507</v>
      </c>
    </row>
    <row r="15" spans="2:5" ht="33.75" customHeight="1" x14ac:dyDescent="0.2">
      <c r="B15" s="219" t="s">
        <v>33</v>
      </c>
      <c r="C15" s="362" t="s">
        <v>511</v>
      </c>
    </row>
    <row r="16" spans="2:5" ht="12" customHeight="1" x14ac:dyDescent="0.2">
      <c r="C16" s="358"/>
    </row>
    <row r="17" spans="2:3" ht="18.75" customHeight="1" x14ac:dyDescent="0.2">
      <c r="B17" s="449" t="s">
        <v>467</v>
      </c>
      <c r="C17" s="449"/>
    </row>
    <row r="18" spans="2:3" ht="22.5" customHeight="1" x14ac:dyDescent="0.2">
      <c r="B18" s="104" t="s">
        <v>452</v>
      </c>
      <c r="C18" s="363" t="s">
        <v>508</v>
      </c>
    </row>
    <row r="19" spans="2:3" ht="22.5" customHeight="1" x14ac:dyDescent="0.2">
      <c r="B19" s="104" t="s">
        <v>497</v>
      </c>
      <c r="C19" s="363" t="s">
        <v>509</v>
      </c>
    </row>
    <row r="20" spans="2:3" ht="22.5" customHeight="1" x14ac:dyDescent="0.2">
      <c r="B20" s="104" t="s">
        <v>486</v>
      </c>
      <c r="C20" s="363" t="s">
        <v>510</v>
      </c>
    </row>
    <row r="21" spans="2:3" ht="22.5" customHeight="1" x14ac:dyDescent="0.2">
      <c r="B21" s="446" t="s">
        <v>544</v>
      </c>
      <c r="C21" s="447" t="s">
        <v>554</v>
      </c>
    </row>
  </sheetData>
  <sheetProtection sheet="1" objects="1" scenarios="1"/>
  <mergeCells count="4">
    <mergeCell ref="B13:C13"/>
    <mergeCell ref="B8:C8"/>
    <mergeCell ref="B17:C17"/>
    <mergeCell ref="B3:C3"/>
  </mergeCells>
  <hyperlinks>
    <hyperlink ref="B4" location="Paramètres!A1" display="Paramètres" xr:uid="{7225B79D-73A7-45FF-B1C4-47A729987C0E}"/>
    <hyperlink ref="B19" location="'Synthèse par commune'!A1" display="Synthèse par commune" xr:uid="{3EAC0EFF-899A-4D62-8FCA-6C9CC8FCA8DE}"/>
    <hyperlink ref="B5" location="Données!A1" display="Données de base" xr:uid="{EAB7928F-8EAF-48F0-8B7D-2DE52615BDE9}"/>
    <hyperlink ref="B15" location="Police!A1" display="Facture policière" xr:uid="{035511D7-3C79-4122-959B-8C87FAD8B722}"/>
    <hyperlink ref="B18" location="Synthèse!A1" display="Synthèse" xr:uid="{D6743E6D-33E6-4F5B-9467-09FFF2009305}"/>
    <hyperlink ref="B14" location="PCS!A1" display="Participation à la cohésion sociale (PCS)" xr:uid="{AD8AD353-596B-4AFB-BB97-80FFB74640BF}"/>
    <hyperlink ref="B11" location="'Charges des villes'!A1" display="Compensation des charges des villes" xr:uid="{AE73A6AC-FAE0-4F36-8AB8-15B26B12EAF0}"/>
    <hyperlink ref="B10" location="'Besoins structurels'!A1" display="Péréquation des besoins structurels" xr:uid="{B28CC349-F12A-4822-B635-02102130FF14}"/>
    <hyperlink ref="B9" location="Ressources!A1" display="Péréquation des ressources" xr:uid="{37D6F3BA-E5AC-4B43-99C0-F520FE0202ED}"/>
    <hyperlink ref="B6" location="RFS!A1" display="Revenus fiscal standardisé (RFS)" xr:uid="{0ED946F9-C96D-444A-BFBE-78646A757013}"/>
    <hyperlink ref="B20" location="'Détail par commune'!A1" display="Détail par commune" xr:uid="{FD51FDA1-9341-407D-A99E-4F20E1F0017E}"/>
    <hyperlink ref="B21" location="'Données par commune'!A1" display="Données par commune" xr:uid="{2AD5ADD3-3A56-40DD-9C0E-F7630F054F4D}"/>
  </hyperlinks>
  <pageMargins left="0.25" right="0.25"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7066-E65F-45AB-95F5-5337B953A6DD}">
  <sheetPr>
    <tabColor rgb="FFCCCCFF"/>
    <pageSetUpPr autoPageBreaks="0"/>
  </sheetPr>
  <dimension ref="A1:Z309"/>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11" width="14.42578125" style="1" customWidth="1"/>
    <col min="12" max="12" width="12.5703125" style="1" customWidth="1"/>
    <col min="13" max="14" width="14.42578125" style="1" customWidth="1"/>
    <col min="15" max="19" width="4.28515625" style="1" customWidth="1"/>
    <col min="20" max="20" width="17.140625" style="1" customWidth="1"/>
    <col min="21" max="22" width="14.28515625" style="1" customWidth="1"/>
    <col min="23" max="23" width="14.85546875" style="1" bestFit="1" customWidth="1"/>
    <col min="24" max="16384" width="11.42578125" style="1"/>
  </cols>
  <sheetData>
    <row r="1" spans="1:26" s="4" customFormat="1" ht="26.25" x14ac:dyDescent="0.25">
      <c r="A1" s="8" t="s">
        <v>422</v>
      </c>
      <c r="C1" s="96" t="s">
        <v>441</v>
      </c>
      <c r="D1" s="98" t="s">
        <v>442</v>
      </c>
      <c r="E1" s="97" t="s">
        <v>443</v>
      </c>
      <c r="F1" s="98"/>
      <c r="G1" s="98"/>
    </row>
    <row r="2" spans="1:26" s="4" customFormat="1" ht="15" customHeight="1" x14ac:dyDescent="0.25">
      <c r="A2" s="48" t="str">
        <f>_xlfn.CONCAT(Paramètres!M5," ",Paramètres!N5)</f>
        <v>Décompte final 2025</v>
      </c>
    </row>
    <row r="3" spans="1:26" s="4" customFormat="1" ht="15" customHeight="1" x14ac:dyDescent="0.25">
      <c r="A3" s="636"/>
      <c r="B3" s="636"/>
      <c r="C3" s="19"/>
    </row>
    <row r="4" spans="1:26" s="4" customFormat="1" ht="15" customHeight="1" x14ac:dyDescent="0.25">
      <c r="A4" s="636"/>
      <c r="B4" s="636"/>
      <c r="C4" s="19"/>
      <c r="D4" s="167"/>
      <c r="E4" s="167"/>
      <c r="F4" s="167"/>
      <c r="G4" s="167"/>
      <c r="H4" s="167"/>
      <c r="I4" s="167"/>
    </row>
    <row r="5" spans="1:26" s="4" customFormat="1" ht="15" customHeight="1" x14ac:dyDescent="0.25">
      <c r="A5" s="525" t="s">
        <v>0</v>
      </c>
      <c r="B5" s="525" t="s">
        <v>1</v>
      </c>
      <c r="C5" s="621" t="s">
        <v>448</v>
      </c>
      <c r="D5" s="622"/>
      <c r="E5" s="622"/>
      <c r="F5" s="623"/>
      <c r="G5" s="627" t="s">
        <v>449</v>
      </c>
      <c r="H5" s="628"/>
      <c r="I5" s="628"/>
      <c r="J5" s="629"/>
      <c r="K5" s="564" t="s">
        <v>450</v>
      </c>
      <c r="L5" s="565"/>
      <c r="M5" s="566"/>
      <c r="N5" s="83">
        <f>Paramètres!K16</f>
        <v>1</v>
      </c>
      <c r="P5" s="526" t="s">
        <v>445</v>
      </c>
      <c r="Q5" s="612" t="s">
        <v>446</v>
      </c>
      <c r="R5" s="614" t="s">
        <v>447</v>
      </c>
      <c r="S5" s="616" t="s">
        <v>482</v>
      </c>
      <c r="T5" s="608" t="s">
        <v>444</v>
      </c>
      <c r="U5" s="609"/>
      <c r="V5" s="182" t="s">
        <v>415</v>
      </c>
    </row>
    <row r="6" spans="1:26" s="4" customFormat="1" ht="15" customHeight="1" x14ac:dyDescent="0.25">
      <c r="A6" s="525"/>
      <c r="B6" s="525"/>
      <c r="C6" s="624"/>
      <c r="D6" s="625"/>
      <c r="E6" s="625"/>
      <c r="F6" s="626"/>
      <c r="G6" s="630"/>
      <c r="H6" s="631"/>
      <c r="I6" s="631"/>
      <c r="J6" s="632"/>
      <c r="K6" s="633"/>
      <c r="L6" s="634"/>
      <c r="M6" s="635"/>
      <c r="N6" s="637" t="s">
        <v>489</v>
      </c>
      <c r="O6" s="5"/>
      <c r="P6" s="527"/>
      <c r="Q6" s="613"/>
      <c r="R6" s="615"/>
      <c r="S6" s="617"/>
      <c r="T6" s="610"/>
      <c r="U6" s="611"/>
      <c r="V6" s="68" t="str">
        <f>IF(ROUND(V308,3)=ROUND(+Paramètres!K13+Paramètres!K12+Paramètres!C12+Paramètres!K6+Paramètres!C17+Police!T3,3),"OK","ERREUR")</f>
        <v>OK</v>
      </c>
    </row>
    <row r="7" spans="1:26" s="4" customFormat="1" ht="37.5" customHeight="1" x14ac:dyDescent="0.25">
      <c r="A7" s="525"/>
      <c r="B7" s="525"/>
      <c r="C7" s="190" t="s">
        <v>430</v>
      </c>
      <c r="D7" s="191" t="s">
        <v>11</v>
      </c>
      <c r="E7" s="191" t="s">
        <v>20</v>
      </c>
      <c r="F7" s="187" t="s">
        <v>21</v>
      </c>
      <c r="G7" s="188" t="s">
        <v>30</v>
      </c>
      <c r="H7" s="188" t="s">
        <v>480</v>
      </c>
      <c r="I7" s="188" t="s">
        <v>43</v>
      </c>
      <c r="J7" s="188" t="s">
        <v>21</v>
      </c>
      <c r="K7" s="189" t="s">
        <v>29</v>
      </c>
      <c r="L7" s="189" t="s">
        <v>419</v>
      </c>
      <c r="M7" s="189" t="s">
        <v>21</v>
      </c>
      <c r="N7" s="638"/>
      <c r="P7" s="618" t="s">
        <v>451</v>
      </c>
      <c r="Q7" s="619"/>
      <c r="R7" s="619"/>
      <c r="S7" s="620"/>
      <c r="T7" s="212" t="s">
        <v>398</v>
      </c>
      <c r="U7" s="220" t="s">
        <v>33</v>
      </c>
      <c r="V7" s="211" t="s">
        <v>21</v>
      </c>
    </row>
    <row r="8" spans="1:26" ht="15" customHeight="1" x14ac:dyDescent="0.25">
      <c r="A8" s="110">
        <f>Données!A8</f>
        <v>5401</v>
      </c>
      <c r="B8" s="118" t="str">
        <f>Données!B8</f>
        <v>Aigle</v>
      </c>
      <c r="C8" s="297">
        <f>Ressources!H8</f>
        <v>-17742865.935730688</v>
      </c>
      <c r="D8" s="297">
        <f>Ressources!L8</f>
        <v>-252388</v>
      </c>
      <c r="E8" s="333">
        <f>Ressources!T8</f>
        <v>-1298128.5128706666</v>
      </c>
      <c r="F8" s="299">
        <f>SUM(C8:E8)</f>
        <v>-19293382.448601354</v>
      </c>
      <c r="G8" s="297">
        <f>'Besoins structurels'!I8</f>
        <v>0</v>
      </c>
      <c r="H8" s="297">
        <f>'Besoins structurels'!N8</f>
        <v>-1863</v>
      </c>
      <c r="I8" s="297">
        <f>'Besoins structurels'!V8</f>
        <v>0</v>
      </c>
      <c r="J8" s="301">
        <f>SUM(G8:I8)</f>
        <v>-1863</v>
      </c>
      <c r="K8" s="297">
        <f>'Charges des villes'!N8</f>
        <v>255771.30080052279</v>
      </c>
      <c r="L8" s="297">
        <f>'Charges des villes'!U8</f>
        <v>231755.86702800763</v>
      </c>
      <c r="M8" s="300">
        <f>SUM(K8:L8)</f>
        <v>487527.16782853042</v>
      </c>
      <c r="N8" s="299">
        <f>-VLOOKUP(A8,Paramètres!$B$23:$C$322,2,FALSE)*$N$5</f>
        <v>0</v>
      </c>
      <c r="O8" s="322"/>
      <c r="P8" s="602">
        <f>F8+J8+M8+N8</f>
        <v>-18807718.280772824</v>
      </c>
      <c r="Q8" s="603"/>
      <c r="R8" s="603"/>
      <c r="S8" s="604"/>
      <c r="T8" s="308">
        <f>PCS!D8</f>
        <v>11762356.632014079</v>
      </c>
      <c r="U8" s="303">
        <f>Police!U8</f>
        <v>363375.52159134299</v>
      </c>
      <c r="V8" s="334">
        <f>P8+T8+U8</f>
        <v>-6681986.1271674018</v>
      </c>
      <c r="W8" s="180"/>
      <c r="X8" s="180"/>
      <c r="Y8" s="180"/>
      <c r="Z8" s="15"/>
    </row>
    <row r="9" spans="1:26" ht="15" customHeight="1" x14ac:dyDescent="0.25">
      <c r="A9" s="111">
        <f>Données!A9</f>
        <v>5402</v>
      </c>
      <c r="B9" s="119" t="str">
        <f>Données!B9</f>
        <v>Bex</v>
      </c>
      <c r="C9" s="307">
        <f>Ressources!H9</f>
        <v>-13664970.208403669</v>
      </c>
      <c r="D9" s="307">
        <f>Ressources!L9</f>
        <v>-326446</v>
      </c>
      <c r="E9" s="335">
        <f>Ressources!T9</f>
        <v>-1018460.05474174</v>
      </c>
      <c r="F9" s="308">
        <f t="shared" ref="F9:F72" si="0">SUM(C9:E9)</f>
        <v>-15009876.26314541</v>
      </c>
      <c r="G9" s="307">
        <f>'Besoins structurels'!I9</f>
        <v>0</v>
      </c>
      <c r="H9" s="307">
        <f>'Besoins structurels'!N9</f>
        <v>-211825</v>
      </c>
      <c r="I9" s="307">
        <f>'Besoins structurels'!V9</f>
        <v>0</v>
      </c>
      <c r="J9" s="309">
        <f t="shared" ref="J9:J72" si="1">SUM(G9:I9)</f>
        <v>-211825</v>
      </c>
      <c r="K9" s="307">
        <f>'Charges des villes'!N9</f>
        <v>505495.68358523399</v>
      </c>
      <c r="L9" s="307">
        <f>'Charges des villes'!U9</f>
        <v>434454.11057784228</v>
      </c>
      <c r="M9" s="302">
        <f t="shared" ref="M9:M72" si="2">SUM(K9:L9)</f>
        <v>939949.79416307621</v>
      </c>
      <c r="N9" s="308">
        <f>-VLOOKUP(A9,Paramètres!$B$23:$C$322,2,FALSE)*$N$5</f>
        <v>-147500</v>
      </c>
      <c r="O9" s="322"/>
      <c r="P9" s="602">
        <f t="shared" ref="P9:P72" si="3">F9+J9+M9+N9</f>
        <v>-14429251.468982333</v>
      </c>
      <c r="Q9" s="603"/>
      <c r="R9" s="603"/>
      <c r="S9" s="604"/>
      <c r="T9" s="308">
        <f>PCS!D9</f>
        <v>8687650.7099959962</v>
      </c>
      <c r="U9" s="303">
        <f>Police!U9</f>
        <v>268388.36016551225</v>
      </c>
      <c r="V9" s="336">
        <f t="shared" ref="V9:V72" si="4">P9+T9+U9</f>
        <v>-5473212.3988208249</v>
      </c>
      <c r="W9" s="180"/>
      <c r="X9" s="180"/>
      <c r="Y9" s="180"/>
      <c r="Z9" s="15"/>
    </row>
    <row r="10" spans="1:26" x14ac:dyDescent="0.25">
      <c r="A10" s="111">
        <f>Données!A10</f>
        <v>5403</v>
      </c>
      <c r="B10" s="119" t="str">
        <f>Données!B10</f>
        <v>Chessel</v>
      </c>
      <c r="C10" s="307">
        <f>Ressources!H10</f>
        <v>-683445.28977626422</v>
      </c>
      <c r="D10" s="307">
        <f>Ressources!L10</f>
        <v>0</v>
      </c>
      <c r="E10" s="335">
        <f>Ressources!T10</f>
        <v>-104100.87239318766</v>
      </c>
      <c r="F10" s="308">
        <f t="shared" si="0"/>
        <v>-787546.16216945183</v>
      </c>
      <c r="G10" s="307">
        <f>'Besoins structurels'!I10</f>
        <v>0</v>
      </c>
      <c r="H10" s="307">
        <f>'Besoins structurels'!N10</f>
        <v>0</v>
      </c>
      <c r="I10" s="307">
        <f>'Besoins structurels'!V10</f>
        <v>-39226</v>
      </c>
      <c r="J10" s="309">
        <f t="shared" si="1"/>
        <v>-39226</v>
      </c>
      <c r="K10" s="307">
        <f>'Charges des villes'!N10</f>
        <v>243765.1702010766</v>
      </c>
      <c r="L10" s="307">
        <f>'Charges des villes'!U10</f>
        <v>53107.283767047767</v>
      </c>
      <c r="M10" s="302">
        <f t="shared" si="2"/>
        <v>296872.45396812435</v>
      </c>
      <c r="N10" s="308">
        <f>-VLOOKUP(A10,Paramètres!$B$23:$C$322,2,FALSE)*$N$5</f>
        <v>0</v>
      </c>
      <c r="O10" s="322"/>
      <c r="P10" s="602">
        <f t="shared" si="3"/>
        <v>-529899.70820132748</v>
      </c>
      <c r="Q10" s="603"/>
      <c r="R10" s="603"/>
      <c r="S10" s="604"/>
      <c r="T10" s="308">
        <f>PCS!D10</f>
        <v>511152.82110813604</v>
      </c>
      <c r="U10" s="303">
        <f>Police!U10</f>
        <v>76112.667653064476</v>
      </c>
      <c r="V10" s="336">
        <f t="shared" si="4"/>
        <v>57365.780559873034</v>
      </c>
      <c r="W10" s="180"/>
      <c r="X10" s="180"/>
      <c r="Y10" s="180"/>
      <c r="Z10" s="15"/>
    </row>
    <row r="11" spans="1:26" x14ac:dyDescent="0.25">
      <c r="A11" s="111">
        <f>Données!A11</f>
        <v>5404</v>
      </c>
      <c r="B11" s="119" t="str">
        <f>Données!B11</f>
        <v>Corbeyrier</v>
      </c>
      <c r="C11" s="307">
        <f>Ressources!H11</f>
        <v>-604191.51026996877</v>
      </c>
      <c r="D11" s="307">
        <f>Ressources!L11</f>
        <v>0</v>
      </c>
      <c r="E11" s="335">
        <f>Ressources!T11</f>
        <v>-25002.729878654412</v>
      </c>
      <c r="F11" s="308">
        <f t="shared" si="0"/>
        <v>-629194.24014862324</v>
      </c>
      <c r="G11" s="307">
        <f>'Besoins structurels'!I11</f>
        <v>-182157</v>
      </c>
      <c r="H11" s="307">
        <f>'Besoins structurels'!N11</f>
        <v>-173673</v>
      </c>
      <c r="I11" s="307">
        <f>'Besoins structurels'!V11</f>
        <v>0</v>
      </c>
      <c r="J11" s="309">
        <f t="shared" si="1"/>
        <v>-355830</v>
      </c>
      <c r="K11" s="307">
        <f>'Charges des villes'!N11</f>
        <v>211727.46211750651</v>
      </c>
      <c r="L11" s="307">
        <f>'Charges des villes'!U11</f>
        <v>46127.469329092914</v>
      </c>
      <c r="M11" s="302">
        <f t="shared" si="2"/>
        <v>257854.93144659942</v>
      </c>
      <c r="N11" s="308">
        <f>-VLOOKUP(A11,Paramètres!$B$23:$C$322,2,FALSE)*$N$5</f>
        <v>0</v>
      </c>
      <c r="O11" s="322"/>
      <c r="P11" s="602">
        <f t="shared" si="3"/>
        <v>-727169.30870202382</v>
      </c>
      <c r="Q11" s="603"/>
      <c r="R11" s="603"/>
      <c r="S11" s="604"/>
      <c r="T11" s="308">
        <f>PCS!D11</f>
        <v>443972.7360482096</v>
      </c>
      <c r="U11" s="303">
        <f>Police!U11</f>
        <v>66109.288475804584</v>
      </c>
      <c r="V11" s="336">
        <f t="shared" si="4"/>
        <v>-217087.28417800964</v>
      </c>
      <c r="W11" s="180"/>
      <c r="X11" s="180"/>
      <c r="Y11" s="180"/>
      <c r="Z11" s="15"/>
    </row>
    <row r="12" spans="1:26" x14ac:dyDescent="0.25">
      <c r="A12" s="111">
        <f>Données!A12</f>
        <v>5405</v>
      </c>
      <c r="B12" s="119" t="str">
        <f>Données!B12</f>
        <v>Gryon</v>
      </c>
      <c r="C12" s="307">
        <f>Ressources!H12</f>
        <v>292810.70488306531</v>
      </c>
      <c r="D12" s="307">
        <f>Ressources!L12</f>
        <v>0</v>
      </c>
      <c r="E12" s="335">
        <f>Ressources!T12</f>
        <v>78411.786485965538</v>
      </c>
      <c r="F12" s="308">
        <f t="shared" si="0"/>
        <v>371222.49136903085</v>
      </c>
      <c r="G12" s="307">
        <f>'Besoins structurels'!I12</f>
        <v>-23667</v>
      </c>
      <c r="H12" s="307">
        <f>'Besoins structurels'!N12</f>
        <v>-553963</v>
      </c>
      <c r="I12" s="307">
        <f>'Besoins structurels'!V12</f>
        <v>0</v>
      </c>
      <c r="J12" s="309">
        <f t="shared" si="1"/>
        <v>-577630</v>
      </c>
      <c r="K12" s="307">
        <f>'Charges des villes'!N12</f>
        <v>586838.99225717841</v>
      </c>
      <c r="L12" s="307">
        <f>'Charges des villes'!U12</f>
        <v>34179.706102582582</v>
      </c>
      <c r="M12" s="302">
        <f t="shared" si="2"/>
        <v>621018.69835976104</v>
      </c>
      <c r="N12" s="308">
        <f>-VLOOKUP(A12,Paramètres!$B$23:$C$322,2,FALSE)*$N$5</f>
        <v>-128800</v>
      </c>
      <c r="O12" s="322"/>
      <c r="P12" s="602">
        <f t="shared" si="3"/>
        <v>285811.18972879188</v>
      </c>
      <c r="Q12" s="603"/>
      <c r="R12" s="603"/>
      <c r="S12" s="604"/>
      <c r="T12" s="308">
        <f>PCS!D12</f>
        <v>1505223.355110816</v>
      </c>
      <c r="U12" s="303">
        <f>Police!U12</f>
        <v>237510.23894839079</v>
      </c>
      <c r="V12" s="336">
        <f t="shared" si="4"/>
        <v>2028544.7837879986</v>
      </c>
      <c r="W12" s="180"/>
      <c r="X12" s="180"/>
      <c r="Y12" s="180"/>
      <c r="Z12" s="15"/>
    </row>
    <row r="13" spans="1:26" x14ac:dyDescent="0.25">
      <c r="A13" s="111">
        <f>Données!A13</f>
        <v>5406</v>
      </c>
      <c r="B13" s="119" t="str">
        <f>Données!B13</f>
        <v>Lavey-Morcles</v>
      </c>
      <c r="C13" s="307">
        <f>Ressources!H13</f>
        <v>-1554166.3876744583</v>
      </c>
      <c r="D13" s="307">
        <f>Ressources!L13</f>
        <v>-33958</v>
      </c>
      <c r="E13" s="335">
        <f>Ressources!T13</f>
        <v>-148747.22753452222</v>
      </c>
      <c r="F13" s="308">
        <f t="shared" si="0"/>
        <v>-1736871.6152089806</v>
      </c>
      <c r="G13" s="307">
        <f>'Besoins structurels'!I13</f>
        <v>-49483</v>
      </c>
      <c r="H13" s="307">
        <f>'Besoins structurels'!N13</f>
        <v>-12125</v>
      </c>
      <c r="I13" s="307">
        <f>'Besoins structurels'!V13</f>
        <v>-22541</v>
      </c>
      <c r="J13" s="309">
        <f t="shared" si="1"/>
        <v>-84149</v>
      </c>
      <c r="K13" s="307">
        <f>'Charges des villes'!N13</f>
        <v>469700.29704309237</v>
      </c>
      <c r="L13" s="307">
        <f>'Charges des villes'!U13</f>
        <v>103584.49252848935</v>
      </c>
      <c r="M13" s="302">
        <f t="shared" si="2"/>
        <v>573284.78957158176</v>
      </c>
      <c r="N13" s="308">
        <f>-VLOOKUP(A13,Paramètres!$B$23:$C$322,2,FALSE)*$N$5</f>
        <v>0</v>
      </c>
      <c r="O13" s="322"/>
      <c r="P13" s="602">
        <f t="shared" si="3"/>
        <v>-1247735.8256373988</v>
      </c>
      <c r="Q13" s="603"/>
      <c r="R13" s="603"/>
      <c r="S13" s="604"/>
      <c r="T13" s="308">
        <f>PCS!D13</f>
        <v>996991.40726615489</v>
      </c>
      <c r="U13" s="303">
        <f>Police!U13</f>
        <v>149043.92648054904</v>
      </c>
      <c r="V13" s="336">
        <f t="shared" si="4"/>
        <v>-101700.49189069483</v>
      </c>
      <c r="W13" s="180"/>
      <c r="X13" s="180"/>
      <c r="Y13" s="180"/>
      <c r="Z13" s="15"/>
    </row>
    <row r="14" spans="1:26" ht="15" customHeight="1" x14ac:dyDescent="0.25">
      <c r="A14" s="111">
        <f>Données!A14</f>
        <v>5407</v>
      </c>
      <c r="B14" s="119" t="str">
        <f>Données!B14</f>
        <v>Leysin</v>
      </c>
      <c r="C14" s="307">
        <f>Ressources!H14</f>
        <v>-4972970.7243431453</v>
      </c>
      <c r="D14" s="307">
        <f>Ressources!L14</f>
        <v>0</v>
      </c>
      <c r="E14" s="335">
        <f>Ressources!T14</f>
        <v>-400727.69889989414</v>
      </c>
      <c r="F14" s="308">
        <f t="shared" si="0"/>
        <v>-5373698.4232430393</v>
      </c>
      <c r="G14" s="307">
        <f>'Besoins structurels'!I14</f>
        <v>0</v>
      </c>
      <c r="H14" s="307">
        <f>'Besoins structurels'!N14</f>
        <v>-1532300</v>
      </c>
      <c r="I14" s="307">
        <f>'Besoins structurels'!V14</f>
        <v>0</v>
      </c>
      <c r="J14" s="309">
        <f t="shared" si="1"/>
        <v>-1532300</v>
      </c>
      <c r="K14" s="307">
        <f>'Charges des villes'!N14</f>
        <v>863433.18183181109</v>
      </c>
      <c r="L14" s="307">
        <f>'Charges des villes'!U14</f>
        <v>376505.35272562242</v>
      </c>
      <c r="M14" s="302">
        <f t="shared" si="2"/>
        <v>1239938.5345574336</v>
      </c>
      <c r="N14" s="308">
        <f>-VLOOKUP(A14,Paramètres!$B$23:$C$322,2,FALSE)*$N$5</f>
        <v>-408800</v>
      </c>
      <c r="O14" s="322"/>
      <c r="P14" s="602">
        <f t="shared" si="3"/>
        <v>-6074859.8886856055</v>
      </c>
      <c r="Q14" s="603"/>
      <c r="R14" s="603"/>
      <c r="S14" s="604"/>
      <c r="T14" s="308">
        <f>PCS!D14</f>
        <v>3623830.0955513949</v>
      </c>
      <c r="U14" s="303">
        <f>Police!U14</f>
        <v>615133.55555430707</v>
      </c>
      <c r="V14" s="336">
        <f t="shared" si="4"/>
        <v>-1835896.2375799036</v>
      </c>
      <c r="W14" s="180"/>
      <c r="X14" s="180"/>
      <c r="Y14" s="180"/>
      <c r="Z14" s="15"/>
    </row>
    <row r="15" spans="1:26" ht="15" customHeight="1" x14ac:dyDescent="0.25">
      <c r="A15" s="111">
        <f>Données!A15</f>
        <v>5408</v>
      </c>
      <c r="B15" s="119" t="str">
        <f>Données!B15</f>
        <v>Noville</v>
      </c>
      <c r="C15" s="307">
        <f>Ressources!H15</f>
        <v>-866005.14622077229</v>
      </c>
      <c r="D15" s="307">
        <f>Ressources!L15</f>
        <v>0</v>
      </c>
      <c r="E15" s="335">
        <f>Ressources!T15</f>
        <v>-109754.81206729484</v>
      </c>
      <c r="F15" s="308">
        <f t="shared" si="0"/>
        <v>-975759.95828806714</v>
      </c>
      <c r="G15" s="307">
        <f>'Besoins structurels'!I15</f>
        <v>0</v>
      </c>
      <c r="H15" s="307">
        <f>'Besoins structurels'!N15</f>
        <v>0</v>
      </c>
      <c r="I15" s="307">
        <f>'Besoins structurels'!V15</f>
        <v>-8136</v>
      </c>
      <c r="J15" s="309">
        <f t="shared" si="1"/>
        <v>-8136</v>
      </c>
      <c r="K15" s="307">
        <f>'Charges des villes'!N15</f>
        <v>512336.98687197431</v>
      </c>
      <c r="L15" s="307">
        <f>'Charges des villes'!U15</f>
        <v>122804.27141561141</v>
      </c>
      <c r="M15" s="302">
        <f t="shared" si="2"/>
        <v>635141.25828758569</v>
      </c>
      <c r="N15" s="308">
        <f>-VLOOKUP(A15,Paramètres!$B$23:$C$322,2,FALSE)*$N$5</f>
        <v>-24900</v>
      </c>
      <c r="O15" s="322"/>
      <c r="P15" s="602">
        <f t="shared" si="3"/>
        <v>-373654.70000048145</v>
      </c>
      <c r="Q15" s="603"/>
      <c r="R15" s="603"/>
      <c r="S15" s="604"/>
      <c r="T15" s="308">
        <f>PCS!D15</f>
        <v>1181980.0472862422</v>
      </c>
      <c r="U15" s="303">
        <f>Police!U15</f>
        <v>181244.30841328838</v>
      </c>
      <c r="V15" s="336">
        <f t="shared" si="4"/>
        <v>989569.65569904912</v>
      </c>
      <c r="W15" s="180"/>
      <c r="X15" s="180"/>
      <c r="Y15" s="180"/>
      <c r="Z15" s="15"/>
    </row>
    <row r="16" spans="1:26" x14ac:dyDescent="0.25">
      <c r="A16" s="111">
        <f>Données!A16</f>
        <v>5409</v>
      </c>
      <c r="B16" s="119" t="str">
        <f>Données!B16</f>
        <v>Ollon</v>
      </c>
      <c r="C16" s="307">
        <f>Ressources!H16</f>
        <v>-317171.30942107295</v>
      </c>
      <c r="D16" s="307">
        <f>Ressources!L16</f>
        <v>0</v>
      </c>
      <c r="E16" s="335">
        <f>Ressources!T16</f>
        <v>738563.73788905935</v>
      </c>
      <c r="F16" s="308">
        <f t="shared" si="0"/>
        <v>421392.42846798641</v>
      </c>
      <c r="G16" s="307">
        <f>'Besoins structurels'!I16</f>
        <v>0</v>
      </c>
      <c r="H16" s="307">
        <f>'Besoins structurels'!N16</f>
        <v>-1293697</v>
      </c>
      <c r="I16" s="307">
        <f>'Besoins structurels'!V16</f>
        <v>0</v>
      </c>
      <c r="J16" s="309">
        <f t="shared" si="1"/>
        <v>-1293697</v>
      </c>
      <c r="K16" s="307">
        <f>'Charges des villes'!N16</f>
        <v>548233.46216841508</v>
      </c>
      <c r="L16" s="307">
        <f>'Charges des villes'!U16</f>
        <v>195622.78063624864</v>
      </c>
      <c r="M16" s="302">
        <f t="shared" si="2"/>
        <v>743856.24280466372</v>
      </c>
      <c r="N16" s="308">
        <f>-VLOOKUP(A16,Paramètres!$B$23:$C$322,2,FALSE)*$N$5</f>
        <v>0</v>
      </c>
      <c r="O16" s="322"/>
      <c r="P16" s="602">
        <f t="shared" si="3"/>
        <v>-128448.32872734987</v>
      </c>
      <c r="Q16" s="603"/>
      <c r="R16" s="603"/>
      <c r="S16" s="604"/>
      <c r="T16" s="308">
        <f>PCS!D16</f>
        <v>8083029.9444566583</v>
      </c>
      <c r="U16" s="303">
        <f>Police!U16</f>
        <v>249709.75749121179</v>
      </c>
      <c r="V16" s="336">
        <f t="shared" si="4"/>
        <v>8204291.3732205201</v>
      </c>
      <c r="W16" s="180"/>
      <c r="X16" s="180"/>
      <c r="Y16" s="180"/>
      <c r="Z16" s="15"/>
    </row>
    <row r="17" spans="1:26" x14ac:dyDescent="0.25">
      <c r="A17" s="111">
        <f>Données!A17</f>
        <v>5410</v>
      </c>
      <c r="B17" s="119" t="str">
        <f>Données!B17</f>
        <v>Ormont-Dessous</v>
      </c>
      <c r="C17" s="307">
        <f>Ressources!H17</f>
        <v>-1265547.8331668943</v>
      </c>
      <c r="D17" s="307">
        <f>Ressources!L17</f>
        <v>0</v>
      </c>
      <c r="E17" s="335">
        <f>Ressources!T17</f>
        <v>-30388.914214875491</v>
      </c>
      <c r="F17" s="308">
        <f t="shared" si="0"/>
        <v>-1295936.7473817698</v>
      </c>
      <c r="G17" s="307">
        <f>'Besoins structurels'!I17</f>
        <v>-502733</v>
      </c>
      <c r="H17" s="307">
        <f>'Besoins structurels'!N17</f>
        <v>-460716</v>
      </c>
      <c r="I17" s="307">
        <f>'Besoins structurels'!V17</f>
        <v>0</v>
      </c>
      <c r="J17" s="309">
        <f t="shared" si="1"/>
        <v>-963449</v>
      </c>
      <c r="K17" s="307">
        <f>'Charges des villes'!N17</f>
        <v>522883.95751385565</v>
      </c>
      <c r="L17" s="307">
        <f>'Charges des villes'!U17</f>
        <v>127558.63777189949</v>
      </c>
      <c r="M17" s="302">
        <f t="shared" si="2"/>
        <v>650442.59528575512</v>
      </c>
      <c r="N17" s="308">
        <f>-VLOOKUP(A17,Paramètres!$B$23:$C$322,2,FALSE)*$N$5</f>
        <v>0</v>
      </c>
      <c r="O17" s="322"/>
      <c r="P17" s="602">
        <f t="shared" si="3"/>
        <v>-1608943.1520960149</v>
      </c>
      <c r="Q17" s="603"/>
      <c r="R17" s="603"/>
      <c r="S17" s="604"/>
      <c r="T17" s="308">
        <f>PCS!D17</f>
        <v>1227740.3950806849</v>
      </c>
      <c r="U17" s="303">
        <f>Police!U17</f>
        <v>189209.6660492818</v>
      </c>
      <c r="V17" s="336">
        <f t="shared" si="4"/>
        <v>-191993.09096604821</v>
      </c>
      <c r="W17" s="180"/>
      <c r="X17" s="180"/>
      <c r="Y17" s="180"/>
      <c r="Z17" s="15"/>
    </row>
    <row r="18" spans="1:26" x14ac:dyDescent="0.25">
      <c r="A18" s="111">
        <f>Données!A18</f>
        <v>5411</v>
      </c>
      <c r="B18" s="119" t="str">
        <f>Données!B18</f>
        <v>Ormont-Dessus</v>
      </c>
      <c r="C18" s="307">
        <f>Ressources!H18</f>
        <v>604885.92223803187</v>
      </c>
      <c r="D18" s="307">
        <f>Ressources!L18</f>
        <v>0</v>
      </c>
      <c r="E18" s="335">
        <f>Ressources!T18</f>
        <v>204574.04143582826</v>
      </c>
      <c r="F18" s="308">
        <f t="shared" si="0"/>
        <v>809459.96367386007</v>
      </c>
      <c r="G18" s="307">
        <f>'Besoins structurels'!I18</f>
        <v>-344086</v>
      </c>
      <c r="H18" s="307">
        <f>'Besoins structurels'!N18</f>
        <v>-613942</v>
      </c>
      <c r="I18" s="307">
        <f>'Besoins structurels'!V18</f>
        <v>0</v>
      </c>
      <c r="J18" s="309">
        <f t="shared" si="1"/>
        <v>-958028</v>
      </c>
      <c r="K18" s="307">
        <f>'Charges des villes'!N18</f>
        <v>563052.2074052759</v>
      </c>
      <c r="L18" s="307">
        <f>'Charges des villes'!U18</f>
        <v>145665.69261818816</v>
      </c>
      <c r="M18" s="302">
        <f t="shared" si="2"/>
        <v>708717.90002346411</v>
      </c>
      <c r="N18" s="308">
        <f>-VLOOKUP(A18,Paramètres!$B$23:$C$322,2,FALSE)*$N$5</f>
        <v>0</v>
      </c>
      <c r="O18" s="322"/>
      <c r="P18" s="602">
        <f t="shared" si="3"/>
        <v>560149.86369732418</v>
      </c>
      <c r="Q18" s="603"/>
      <c r="R18" s="603"/>
      <c r="S18" s="604"/>
      <c r="T18" s="308">
        <f>PCS!D18</f>
        <v>1402019.1664680303</v>
      </c>
      <c r="U18" s="303">
        <f>Police!U18</f>
        <v>219545.8153438099</v>
      </c>
      <c r="V18" s="336">
        <f t="shared" si="4"/>
        <v>2181714.8455091645</v>
      </c>
      <c r="W18" s="180"/>
      <c r="X18" s="180"/>
      <c r="Y18" s="180"/>
      <c r="Z18" s="15"/>
    </row>
    <row r="19" spans="1:26" x14ac:dyDescent="0.25">
      <c r="A19" s="111">
        <f>Données!A19</f>
        <v>5412</v>
      </c>
      <c r="B19" s="119" t="str">
        <f>Données!B19</f>
        <v>Rennaz</v>
      </c>
      <c r="C19" s="307">
        <f>Ressources!H19</f>
        <v>-1022073.6308486511</v>
      </c>
      <c r="D19" s="307">
        <f>Ressources!L19</f>
        <v>0</v>
      </c>
      <c r="E19" s="335">
        <f>Ressources!T19</f>
        <v>343191.54940451344</v>
      </c>
      <c r="F19" s="308">
        <f t="shared" si="0"/>
        <v>-678882.08144413761</v>
      </c>
      <c r="G19" s="307">
        <f>'Besoins structurels'!I19</f>
        <v>0</v>
      </c>
      <c r="H19" s="307">
        <f>'Besoins structurels'!N19</f>
        <v>0</v>
      </c>
      <c r="I19" s="307">
        <f>'Besoins structurels'!V19</f>
        <v>-19220</v>
      </c>
      <c r="J19" s="309">
        <f t="shared" si="1"/>
        <v>-19220</v>
      </c>
      <c r="K19" s="307">
        <f>'Charges des villes'!N19</f>
        <v>434134.16026286973</v>
      </c>
      <c r="L19" s="307">
        <f>'Charges des villes'!U19</f>
        <v>94581.543470837452</v>
      </c>
      <c r="M19" s="302">
        <f t="shared" si="2"/>
        <v>528715.7037337072</v>
      </c>
      <c r="N19" s="308">
        <f>-VLOOKUP(A19,Paramètres!$B$23:$C$322,2,FALSE)*$N$5</f>
        <v>0</v>
      </c>
      <c r="O19" s="322"/>
      <c r="P19" s="602">
        <f t="shared" si="3"/>
        <v>-169386.37771043042</v>
      </c>
      <c r="Q19" s="603"/>
      <c r="R19" s="603"/>
      <c r="S19" s="604"/>
      <c r="T19" s="308">
        <f>PCS!D19</f>
        <v>910338.83378306136</v>
      </c>
      <c r="U19" s="303">
        <f>Police!U19</f>
        <v>135553.03667736246</v>
      </c>
      <c r="V19" s="336">
        <f t="shared" si="4"/>
        <v>876505.49274999346</v>
      </c>
      <c r="W19" s="180"/>
      <c r="X19" s="180"/>
      <c r="Y19" s="180"/>
      <c r="Z19" s="15"/>
    </row>
    <row r="20" spans="1:26" ht="15" customHeight="1" x14ac:dyDescent="0.25">
      <c r="A20" s="111">
        <f>Données!A20</f>
        <v>5413</v>
      </c>
      <c r="B20" s="119" t="str">
        <f>Données!B20</f>
        <v>Roche</v>
      </c>
      <c r="C20" s="307">
        <f>Ressources!H20</f>
        <v>-3167363.8055005986</v>
      </c>
      <c r="D20" s="307">
        <f>Ressources!L20</f>
        <v>-87175</v>
      </c>
      <c r="E20" s="335">
        <f>Ressources!T20</f>
        <v>-96960.008943117922</v>
      </c>
      <c r="F20" s="308">
        <f t="shared" si="0"/>
        <v>-3351498.8144437168</v>
      </c>
      <c r="G20" s="307">
        <f>'Besoins structurels'!I20</f>
        <v>0</v>
      </c>
      <c r="H20" s="307">
        <f>'Besoins structurels'!N20</f>
        <v>0</v>
      </c>
      <c r="I20" s="307">
        <f>'Besoins structurels'!V20</f>
        <v>-173762</v>
      </c>
      <c r="J20" s="309">
        <f t="shared" si="1"/>
        <v>-173762</v>
      </c>
      <c r="K20" s="307">
        <f>'Charges des villes'!N20</f>
        <v>696572.36765887984</v>
      </c>
      <c r="L20" s="307">
        <f>'Charges des villes'!U20</f>
        <v>205853.94755417563</v>
      </c>
      <c r="M20" s="302">
        <f t="shared" si="2"/>
        <v>902426.31521305547</v>
      </c>
      <c r="N20" s="308">
        <f>-VLOOKUP(A20,Paramètres!$B$23:$C$322,2,FALSE)*$N$5</f>
        <v>0</v>
      </c>
      <c r="O20" s="322"/>
      <c r="P20" s="602">
        <f t="shared" si="3"/>
        <v>-2622834.4992306614</v>
      </c>
      <c r="Q20" s="603"/>
      <c r="R20" s="603"/>
      <c r="S20" s="604"/>
      <c r="T20" s="308">
        <f>PCS!D20</f>
        <v>1981325.6970572511</v>
      </c>
      <c r="U20" s="303">
        <f>Police!U20</f>
        <v>320383.85350159887</v>
      </c>
      <c r="V20" s="336">
        <f t="shared" si="4"/>
        <v>-321124.94867181143</v>
      </c>
      <c r="W20" s="180"/>
      <c r="X20" s="180"/>
      <c r="Y20" s="180"/>
      <c r="Z20" s="15"/>
    </row>
    <row r="21" spans="1:26" ht="15" customHeight="1" x14ac:dyDescent="0.25">
      <c r="A21" s="111">
        <f>Données!A21</f>
        <v>5414</v>
      </c>
      <c r="B21" s="119" t="str">
        <f>Données!B21</f>
        <v>Villeneuve</v>
      </c>
      <c r="C21" s="307">
        <f>Ressources!H21</f>
        <v>-7638343.9763767775</v>
      </c>
      <c r="D21" s="307">
        <f>Ressources!L21</f>
        <v>0</v>
      </c>
      <c r="E21" s="335">
        <f>Ressources!T21</f>
        <v>-207663.47675014986</v>
      </c>
      <c r="F21" s="308">
        <f t="shared" si="0"/>
        <v>-7846007.4531269278</v>
      </c>
      <c r="G21" s="307">
        <f>'Besoins structurels'!I21</f>
        <v>0</v>
      </c>
      <c r="H21" s="307">
        <f>'Besoins structurels'!N21</f>
        <v>0</v>
      </c>
      <c r="I21" s="307">
        <f>'Besoins structurels'!V21</f>
        <v>0</v>
      </c>
      <c r="J21" s="309">
        <f t="shared" si="1"/>
        <v>0</v>
      </c>
      <c r="K21" s="307">
        <f>'Charges des villes'!N21</f>
        <v>701635.24713123403</v>
      </c>
      <c r="L21" s="307">
        <f>'Charges des villes'!U21</f>
        <v>155540.7072710116</v>
      </c>
      <c r="M21" s="302">
        <f t="shared" si="2"/>
        <v>857175.95440224558</v>
      </c>
      <c r="N21" s="308">
        <f>-VLOOKUP(A21,Paramètres!$B$23:$C$322,2,FALSE)*$N$5</f>
        <v>-465800</v>
      </c>
      <c r="O21" s="322"/>
      <c r="P21" s="602">
        <f t="shared" si="3"/>
        <v>-7454631.4987246823</v>
      </c>
      <c r="Q21" s="603"/>
      <c r="R21" s="603"/>
      <c r="S21" s="604"/>
      <c r="T21" s="308">
        <f>PCS!D21</f>
        <v>5912821.1096946858</v>
      </c>
      <c r="U21" s="303">
        <f>Police!U21</f>
        <v>1055513.5170278824</v>
      </c>
      <c r="V21" s="336">
        <f t="shared" si="4"/>
        <v>-486296.87200211408</v>
      </c>
      <c r="W21" s="180"/>
      <c r="X21" s="180"/>
      <c r="Y21" s="180"/>
      <c r="Z21" s="15"/>
    </row>
    <row r="22" spans="1:26" x14ac:dyDescent="0.25">
      <c r="A22" s="111">
        <f>Données!A22</f>
        <v>5415</v>
      </c>
      <c r="B22" s="119" t="str">
        <f>Données!B22</f>
        <v>Yvorne</v>
      </c>
      <c r="C22" s="307">
        <f>Ressources!H22</f>
        <v>-1046387.5240653348</v>
      </c>
      <c r="D22" s="307">
        <f>Ressources!L22</f>
        <v>0</v>
      </c>
      <c r="E22" s="335">
        <f>Ressources!T22</f>
        <v>-160220.50230090853</v>
      </c>
      <c r="F22" s="308">
        <f t="shared" si="0"/>
        <v>-1206608.0263662434</v>
      </c>
      <c r="G22" s="307">
        <f>'Besoins structurels'!I22</f>
        <v>-34381</v>
      </c>
      <c r="H22" s="307">
        <f>'Besoins structurels'!N22</f>
        <v>0</v>
      </c>
      <c r="I22" s="307">
        <f>'Besoins structurels'!V22</f>
        <v>0</v>
      </c>
      <c r="J22" s="309">
        <f t="shared" si="1"/>
        <v>-34381</v>
      </c>
      <c r="K22" s="307">
        <f>'Charges des villes'!N22</f>
        <v>491018.64195753337</v>
      </c>
      <c r="L22" s="307">
        <f>'Charges des villes'!U22</f>
        <v>9751.3819720503816</v>
      </c>
      <c r="M22" s="302">
        <f t="shared" si="2"/>
        <v>500770.02392958372</v>
      </c>
      <c r="N22" s="308">
        <f>-VLOOKUP(A22,Paramètres!$B$23:$C$322,2,FALSE)*$N$5</f>
        <v>-121100</v>
      </c>
      <c r="O22" s="322"/>
      <c r="P22" s="602">
        <f t="shared" si="3"/>
        <v>-861319.00243665965</v>
      </c>
      <c r="Q22" s="603"/>
      <c r="R22" s="603"/>
      <c r="S22" s="604"/>
      <c r="T22" s="308">
        <f>PCS!D22</f>
        <v>1089485.7272761986</v>
      </c>
      <c r="U22" s="303">
        <f>Police!U22</f>
        <v>165144.11744691871</v>
      </c>
      <c r="V22" s="336">
        <f t="shared" si="4"/>
        <v>393310.84228645766</v>
      </c>
      <c r="W22" s="180"/>
      <c r="X22" s="180"/>
      <c r="Y22" s="180"/>
      <c r="Z22" s="15"/>
    </row>
    <row r="23" spans="1:26" x14ac:dyDescent="0.25">
      <c r="A23" s="111">
        <f>Données!A23</f>
        <v>5422</v>
      </c>
      <c r="B23" s="119" t="str">
        <f>Données!B23</f>
        <v>Aubonne</v>
      </c>
      <c r="C23" s="307">
        <f>Ressources!H23</f>
        <v>11941692.115090817</v>
      </c>
      <c r="D23" s="307">
        <f>Ressources!L23</f>
        <v>0</v>
      </c>
      <c r="E23" s="335">
        <f>Ressources!T23</f>
        <v>92336.129106934997</v>
      </c>
      <c r="F23" s="308">
        <f t="shared" si="0"/>
        <v>12034028.244197752</v>
      </c>
      <c r="G23" s="307">
        <f>'Besoins structurels'!I23</f>
        <v>0</v>
      </c>
      <c r="H23" s="307">
        <f>'Besoins structurels'!N23</f>
        <v>0</v>
      </c>
      <c r="I23" s="307">
        <f>'Besoins structurels'!V23</f>
        <v>0</v>
      </c>
      <c r="J23" s="309">
        <f t="shared" si="1"/>
        <v>0</v>
      </c>
      <c r="K23" s="307">
        <f>'Charges des villes'!N23</f>
        <v>851458.34532058169</v>
      </c>
      <c r="L23" s="307">
        <f>'Charges des villes'!U23</f>
        <v>394106.62391698686</v>
      </c>
      <c r="M23" s="302">
        <f t="shared" si="2"/>
        <v>1245564.9692375686</v>
      </c>
      <c r="N23" s="308">
        <f>-VLOOKUP(A23,Paramètres!$B$23:$C$322,2,FALSE)*$N$5</f>
        <v>0</v>
      </c>
      <c r="O23" s="322"/>
      <c r="P23" s="602">
        <f t="shared" si="3"/>
        <v>13279593.21343532</v>
      </c>
      <c r="Q23" s="603"/>
      <c r="R23" s="603"/>
      <c r="S23" s="604"/>
      <c r="T23" s="308">
        <f>PCS!D23</f>
        <v>3793240.7448329488</v>
      </c>
      <c r="U23" s="303">
        <f>Police!U23</f>
        <v>646753.75543429155</v>
      </c>
      <c r="V23" s="336">
        <f t="shared" si="4"/>
        <v>17719587.713702563</v>
      </c>
      <c r="W23" s="180"/>
      <c r="X23" s="180"/>
      <c r="Y23" s="180"/>
      <c r="Z23" s="15"/>
    </row>
    <row r="24" spans="1:26" ht="15" customHeight="1" x14ac:dyDescent="0.25">
      <c r="A24" s="111">
        <f>Données!A24</f>
        <v>5423</v>
      </c>
      <c r="B24" s="119" t="str">
        <f>Données!B24</f>
        <v>Ballens</v>
      </c>
      <c r="C24" s="307">
        <f>Ressources!H24</f>
        <v>-713421.21252821211</v>
      </c>
      <c r="D24" s="307">
        <f>Ressources!L24</f>
        <v>0</v>
      </c>
      <c r="E24" s="335">
        <f>Ressources!T24</f>
        <v>-83541.663310569202</v>
      </c>
      <c r="F24" s="308">
        <f t="shared" si="0"/>
        <v>-796962.87583878136</v>
      </c>
      <c r="G24" s="307">
        <f>'Besoins structurels'!I24</f>
        <v>-41429</v>
      </c>
      <c r="H24" s="307">
        <f>'Besoins structurels'!N24</f>
        <v>0</v>
      </c>
      <c r="I24" s="307">
        <f>'Besoins structurels'!V24</f>
        <v>0</v>
      </c>
      <c r="J24" s="309">
        <f t="shared" si="1"/>
        <v>-41429</v>
      </c>
      <c r="K24" s="307">
        <f>'Charges des villes'!N24</f>
        <v>269302.47374595125</v>
      </c>
      <c r="L24" s="307">
        <f>'Charges des villes'!U24</f>
        <v>58670.903971214677</v>
      </c>
      <c r="M24" s="302">
        <f t="shared" si="2"/>
        <v>327973.37771716592</v>
      </c>
      <c r="N24" s="308">
        <f>-VLOOKUP(A24,Paramètres!$B$23:$C$322,2,FALSE)*$N$5</f>
        <v>0</v>
      </c>
      <c r="O24" s="322"/>
      <c r="P24" s="602">
        <f t="shared" si="3"/>
        <v>-510418.49812161544</v>
      </c>
      <c r="Q24" s="603"/>
      <c r="R24" s="603"/>
      <c r="S24" s="604"/>
      <c r="T24" s="308">
        <f>PCS!D24</f>
        <v>564702.16427184548</v>
      </c>
      <c r="U24" s="303">
        <f>Police!U24</f>
        <v>84086.375692909322</v>
      </c>
      <c r="V24" s="336">
        <f t="shared" si="4"/>
        <v>138370.04184313936</v>
      </c>
      <c r="W24" s="180"/>
      <c r="X24" s="180"/>
      <c r="Y24" s="180"/>
      <c r="Z24" s="15"/>
    </row>
    <row r="25" spans="1:26" x14ac:dyDescent="0.25">
      <c r="A25" s="111">
        <f>Données!A25</f>
        <v>5424</v>
      </c>
      <c r="B25" s="119" t="str">
        <f>Données!B25</f>
        <v>Berolle</v>
      </c>
      <c r="C25" s="307">
        <f>Ressources!H25</f>
        <v>-284116.25923142274</v>
      </c>
      <c r="D25" s="307">
        <f>Ressources!L25</f>
        <v>0</v>
      </c>
      <c r="E25" s="335">
        <f>Ressources!T25</f>
        <v>-52233.746367535801</v>
      </c>
      <c r="F25" s="308">
        <f t="shared" si="0"/>
        <v>-336350.00559895852</v>
      </c>
      <c r="G25" s="307">
        <f>'Besoins structurels'!I25</f>
        <v>-78224</v>
      </c>
      <c r="H25" s="307">
        <f>'Besoins structurels'!N25</f>
        <v>-45307</v>
      </c>
      <c r="I25" s="307">
        <f>'Besoins structurels'!V25</f>
        <v>0</v>
      </c>
      <c r="J25" s="309">
        <f t="shared" si="1"/>
        <v>-123531</v>
      </c>
      <c r="K25" s="307">
        <f>'Charges des villes'!N25</f>
        <v>139294.38297204376</v>
      </c>
      <c r="L25" s="307">
        <f>'Charges des villes'!U25</f>
        <v>30347.019295455866</v>
      </c>
      <c r="M25" s="302">
        <f t="shared" si="2"/>
        <v>169641.40226749962</v>
      </c>
      <c r="N25" s="308">
        <f>-VLOOKUP(A25,Paramètres!$B$23:$C$322,2,FALSE)*$N$5</f>
        <v>0</v>
      </c>
      <c r="O25" s="322"/>
      <c r="P25" s="602">
        <f t="shared" si="3"/>
        <v>-290239.60333145887</v>
      </c>
      <c r="Q25" s="603"/>
      <c r="R25" s="603"/>
      <c r="S25" s="604"/>
      <c r="T25" s="308">
        <f>PCS!D25</f>
        <v>292087.32634750631</v>
      </c>
      <c r="U25" s="303">
        <f>Police!U25</f>
        <v>43492.952944608274</v>
      </c>
      <c r="V25" s="336">
        <f t="shared" si="4"/>
        <v>45340.675960655717</v>
      </c>
      <c r="W25" s="180"/>
      <c r="X25" s="180"/>
      <c r="Y25" s="180"/>
      <c r="Z25" s="15"/>
    </row>
    <row r="26" spans="1:26" x14ac:dyDescent="0.25">
      <c r="A26" s="111">
        <f>Données!A26</f>
        <v>5425</v>
      </c>
      <c r="B26" s="119" t="str">
        <f>Données!B26</f>
        <v>Bière</v>
      </c>
      <c r="C26" s="307">
        <f>Ressources!H26</f>
        <v>-2310677.7463978757</v>
      </c>
      <c r="D26" s="307">
        <f>Ressources!L26</f>
        <v>0</v>
      </c>
      <c r="E26" s="335">
        <f>Ressources!T26</f>
        <v>-258096.65655392798</v>
      </c>
      <c r="F26" s="308">
        <f t="shared" si="0"/>
        <v>-2568774.4029518035</v>
      </c>
      <c r="G26" s="307">
        <f>'Besoins structurels'!I26</f>
        <v>-120643</v>
      </c>
      <c r="H26" s="307">
        <f>'Besoins structurels'!N26</f>
        <v>-1187</v>
      </c>
      <c r="I26" s="307">
        <f>'Besoins structurels'!V26</f>
        <v>0</v>
      </c>
      <c r="J26" s="309">
        <f t="shared" si="1"/>
        <v>-121830</v>
      </c>
      <c r="K26" s="307">
        <f>'Charges des villes'!N26</f>
        <v>621621.555012319</v>
      </c>
      <c r="L26" s="307">
        <f>'Charges des villes'!U26</f>
        <v>172067.59940523477</v>
      </c>
      <c r="M26" s="302">
        <f t="shared" si="2"/>
        <v>793689.1544175538</v>
      </c>
      <c r="N26" s="308">
        <f>-VLOOKUP(A26,Paramètres!$B$23:$C$322,2,FALSE)*$N$5</f>
        <v>-189800</v>
      </c>
      <c r="O26" s="322"/>
      <c r="P26" s="602">
        <f t="shared" si="3"/>
        <v>-2086715.2485342496</v>
      </c>
      <c r="Q26" s="603"/>
      <c r="R26" s="603"/>
      <c r="S26" s="604"/>
      <c r="T26" s="308">
        <f>PCS!D26</f>
        <v>1656135.1403903607</v>
      </c>
      <c r="U26" s="303">
        <f>Police!U26</f>
        <v>263778.97157773079</v>
      </c>
      <c r="V26" s="336">
        <f t="shared" si="4"/>
        <v>-166801.13656615809</v>
      </c>
      <c r="W26" s="180"/>
      <c r="X26" s="180"/>
      <c r="Y26" s="180"/>
      <c r="Z26" s="15"/>
    </row>
    <row r="27" spans="1:26" x14ac:dyDescent="0.25">
      <c r="A27" s="111">
        <f>Données!A27</f>
        <v>5426</v>
      </c>
      <c r="B27" s="119" t="str">
        <f>Données!B27</f>
        <v>Bougy-Villars</v>
      </c>
      <c r="C27" s="307">
        <f>Ressources!H27</f>
        <v>3626762.0465572714</v>
      </c>
      <c r="D27" s="307">
        <f>Ressources!L27</f>
        <v>0</v>
      </c>
      <c r="E27" s="335">
        <f>Ressources!T27</f>
        <v>-4408.0823139838467</v>
      </c>
      <c r="F27" s="308">
        <f t="shared" si="0"/>
        <v>3622353.9642432877</v>
      </c>
      <c r="G27" s="307">
        <f>'Besoins structurels'!I27</f>
        <v>0</v>
      </c>
      <c r="H27" s="307">
        <f>'Besoins structurels'!N27</f>
        <v>0</v>
      </c>
      <c r="I27" s="307">
        <f>'Besoins structurels'!V27</f>
        <v>0</v>
      </c>
      <c r="J27" s="309">
        <f t="shared" si="1"/>
        <v>0</v>
      </c>
      <c r="K27" s="307">
        <f>'Charges des villes'!N27</f>
        <v>228907.1026840586</v>
      </c>
      <c r="L27" s="307">
        <f>'Charges des villes'!U27</f>
        <v>49870.268375532469</v>
      </c>
      <c r="M27" s="302">
        <f t="shared" si="2"/>
        <v>278777.37105959107</v>
      </c>
      <c r="N27" s="308">
        <f>-VLOOKUP(A27,Paramètres!$B$23:$C$322,2,FALSE)*$N$5</f>
        <v>0</v>
      </c>
      <c r="O27" s="322"/>
      <c r="P27" s="602">
        <f t="shared" si="3"/>
        <v>3901131.3353028786</v>
      </c>
      <c r="Q27" s="603"/>
      <c r="R27" s="603"/>
      <c r="S27" s="604"/>
      <c r="T27" s="308">
        <f>PCS!D27</f>
        <v>479996.83963106869</v>
      </c>
      <c r="U27" s="303">
        <f>Police!U27</f>
        <v>71473.419338972919</v>
      </c>
      <c r="V27" s="336">
        <f t="shared" si="4"/>
        <v>4452601.5942729209</v>
      </c>
      <c r="W27" s="180"/>
      <c r="X27" s="180"/>
      <c r="Y27" s="180"/>
      <c r="Z27" s="15"/>
    </row>
    <row r="28" spans="1:26" ht="15" customHeight="1" x14ac:dyDescent="0.25">
      <c r="A28" s="111">
        <f>Données!A28</f>
        <v>5427</v>
      </c>
      <c r="B28" s="119" t="str">
        <f>Données!B28</f>
        <v>Féchy</v>
      </c>
      <c r="C28" s="307">
        <f>Ressources!H28</f>
        <v>1889856.2648574256</v>
      </c>
      <c r="D28" s="307">
        <f>Ressources!L28</f>
        <v>0</v>
      </c>
      <c r="E28" s="335">
        <f>Ressources!T28</f>
        <v>-41788.136929958127</v>
      </c>
      <c r="F28" s="308">
        <f t="shared" si="0"/>
        <v>1848068.1279274675</v>
      </c>
      <c r="G28" s="307">
        <f>'Besoins structurels'!I28</f>
        <v>0</v>
      </c>
      <c r="H28" s="307">
        <f>'Besoins structurels'!N28</f>
        <v>0</v>
      </c>
      <c r="I28" s="307">
        <f>'Besoins structurels'!V28</f>
        <v>0</v>
      </c>
      <c r="J28" s="309">
        <f t="shared" si="1"/>
        <v>0</v>
      </c>
      <c r="K28" s="307">
        <f>'Charges des villes'!N28</f>
        <v>420669.03657557222</v>
      </c>
      <c r="L28" s="307">
        <f>'Charges des villes'!U28</f>
        <v>91647.998272276716</v>
      </c>
      <c r="M28" s="302">
        <f t="shared" si="2"/>
        <v>512317.03484784893</v>
      </c>
      <c r="N28" s="308">
        <f>-VLOOKUP(A28,Paramètres!$B$23:$C$322,2,FALSE)*$N$5</f>
        <v>0</v>
      </c>
      <c r="O28" s="322"/>
      <c r="P28" s="602">
        <f t="shared" si="3"/>
        <v>2360385.1627753163</v>
      </c>
      <c r="Q28" s="603"/>
      <c r="R28" s="603"/>
      <c r="S28" s="604"/>
      <c r="T28" s="308">
        <f>PCS!D28</f>
        <v>882103.72556946904</v>
      </c>
      <c r="U28" s="303">
        <f>Police!U28</f>
        <v>131348.71789271699</v>
      </c>
      <c r="V28" s="336">
        <f t="shared" si="4"/>
        <v>3373837.6062375023</v>
      </c>
      <c r="W28" s="180"/>
      <c r="X28" s="180"/>
      <c r="Y28" s="180"/>
      <c r="Z28" s="15"/>
    </row>
    <row r="29" spans="1:26" x14ac:dyDescent="0.25">
      <c r="A29" s="111">
        <f>Données!A29</f>
        <v>5428</v>
      </c>
      <c r="B29" s="119" t="str">
        <f>Données!B29</f>
        <v>Gimel</v>
      </c>
      <c r="C29" s="307">
        <f>Ressources!H29</f>
        <v>-2855963.8867827808</v>
      </c>
      <c r="D29" s="307">
        <f>Ressources!L29</f>
        <v>0</v>
      </c>
      <c r="E29" s="335">
        <f>Ressources!T29</f>
        <v>-140611.71591521776</v>
      </c>
      <c r="F29" s="308">
        <f t="shared" si="0"/>
        <v>-2996575.6026979983</v>
      </c>
      <c r="G29" s="307">
        <f>'Besoins structurels'!I29</f>
        <v>-585</v>
      </c>
      <c r="H29" s="307">
        <f>'Besoins structurels'!N29</f>
        <v>-66292</v>
      </c>
      <c r="I29" s="307">
        <f>'Besoins structurels'!V29</f>
        <v>-67433</v>
      </c>
      <c r="J29" s="309">
        <f t="shared" si="1"/>
        <v>-134310</v>
      </c>
      <c r="K29" s="307">
        <f>'Charges des villes'!N29</f>
        <v>790373.08528242016</v>
      </c>
      <c r="L29" s="307">
        <f>'Charges des villes'!U29</f>
        <v>248137.46110584412</v>
      </c>
      <c r="M29" s="302">
        <f t="shared" si="2"/>
        <v>1038510.5463882643</v>
      </c>
      <c r="N29" s="308">
        <f>-VLOOKUP(A29,Paramètres!$B$23:$C$322,2,FALSE)*$N$5</f>
        <v>-82700</v>
      </c>
      <c r="O29" s="322"/>
      <c r="P29" s="602">
        <f t="shared" si="3"/>
        <v>-2175075.056309734</v>
      </c>
      <c r="Q29" s="603"/>
      <c r="R29" s="603"/>
      <c r="S29" s="604"/>
      <c r="T29" s="308">
        <f>PCS!D29</f>
        <v>2388300.7051014435</v>
      </c>
      <c r="U29" s="303">
        <f>Police!U29</f>
        <v>391224.69375362544</v>
      </c>
      <c r="V29" s="336">
        <f t="shared" si="4"/>
        <v>604450.34254533495</v>
      </c>
      <c r="W29" s="180"/>
      <c r="X29" s="180"/>
      <c r="Y29" s="180"/>
      <c r="Z29" s="15"/>
    </row>
    <row r="30" spans="1:26" x14ac:dyDescent="0.25">
      <c r="A30" s="111">
        <f>Données!A30</f>
        <v>5429</v>
      </c>
      <c r="B30" s="119" t="str">
        <f>Données!B30</f>
        <v>Longirod</v>
      </c>
      <c r="C30" s="307">
        <f>Ressources!H30</f>
        <v>-525681.58280051732</v>
      </c>
      <c r="D30" s="307">
        <f>Ressources!L30</f>
        <v>0</v>
      </c>
      <c r="E30" s="335">
        <f>Ressources!T30</f>
        <v>-61253.937943616591</v>
      </c>
      <c r="F30" s="308">
        <f t="shared" si="0"/>
        <v>-586935.52074413397</v>
      </c>
      <c r="G30" s="307">
        <f>'Besoins structurels'!I30</f>
        <v>-55272</v>
      </c>
      <c r="H30" s="307">
        <f>'Besoins structurels'!N30</f>
        <v>-47777</v>
      </c>
      <c r="I30" s="307">
        <f>'Besoins structurels'!V30</f>
        <v>0</v>
      </c>
      <c r="J30" s="309">
        <f t="shared" si="1"/>
        <v>-103049</v>
      </c>
      <c r="K30" s="307">
        <f>'Charges des villes'!N30</f>
        <v>259087.55232800142</v>
      </c>
      <c r="L30" s="307">
        <f>'Charges des villes'!U30</f>
        <v>56445.455889547913</v>
      </c>
      <c r="M30" s="302">
        <f t="shared" si="2"/>
        <v>315533.0082175493</v>
      </c>
      <c r="N30" s="308">
        <f>-VLOOKUP(A30,Paramètres!$B$23:$C$322,2,FALSE)*$N$5</f>
        <v>0</v>
      </c>
      <c r="O30" s="322"/>
      <c r="P30" s="602">
        <f t="shared" si="3"/>
        <v>-374451.51252658467</v>
      </c>
      <c r="Q30" s="603"/>
      <c r="R30" s="603"/>
      <c r="S30" s="604"/>
      <c r="T30" s="308">
        <f>PCS!D30</f>
        <v>543282.42700636177</v>
      </c>
      <c r="U30" s="303">
        <f>Police!U30</f>
        <v>80896.892476971392</v>
      </c>
      <c r="V30" s="336">
        <f t="shared" si="4"/>
        <v>249727.80695674848</v>
      </c>
      <c r="W30" s="180"/>
      <c r="X30" s="180"/>
      <c r="Y30" s="180"/>
      <c r="Z30" s="15"/>
    </row>
    <row r="31" spans="1:26" x14ac:dyDescent="0.25">
      <c r="A31" s="111">
        <f>Données!A31</f>
        <v>5430</v>
      </c>
      <c r="B31" s="119" t="str">
        <f>Données!B31</f>
        <v>Marchissy</v>
      </c>
      <c r="C31" s="307">
        <f>Ressources!H31</f>
        <v>-410726.46881289384</v>
      </c>
      <c r="D31" s="307">
        <f>Ressources!L31</f>
        <v>0</v>
      </c>
      <c r="E31" s="335">
        <f>Ressources!T31</f>
        <v>-98684.751842758706</v>
      </c>
      <c r="F31" s="308">
        <f t="shared" si="0"/>
        <v>-509411.22065565258</v>
      </c>
      <c r="G31" s="307">
        <f>'Besoins structurels'!I31</f>
        <v>-87096</v>
      </c>
      <c r="H31" s="307">
        <f>'Besoins structurels'!N31</f>
        <v>-45300</v>
      </c>
      <c r="I31" s="307">
        <f>'Besoins structurels'!V31</f>
        <v>0</v>
      </c>
      <c r="J31" s="309">
        <f t="shared" si="1"/>
        <v>-132396</v>
      </c>
      <c r="K31" s="307">
        <f>'Charges des villes'!N31</f>
        <v>228442.78807415179</v>
      </c>
      <c r="L31" s="307">
        <f>'Charges des villes'!U31</f>
        <v>49769.111644547622</v>
      </c>
      <c r="M31" s="302">
        <f t="shared" si="2"/>
        <v>278211.89971869939</v>
      </c>
      <c r="N31" s="308">
        <f>-VLOOKUP(A31,Paramètres!$B$23:$C$322,2,FALSE)*$N$5</f>
        <v>0</v>
      </c>
      <c r="O31" s="322"/>
      <c r="P31" s="602">
        <f t="shared" si="3"/>
        <v>-363595.32093695318</v>
      </c>
      <c r="Q31" s="603"/>
      <c r="R31" s="603"/>
      <c r="S31" s="604"/>
      <c r="T31" s="308">
        <f>PCS!D31</f>
        <v>479023.21520991036</v>
      </c>
      <c r="U31" s="303">
        <f>Police!U31</f>
        <v>71328.442829157575</v>
      </c>
      <c r="V31" s="336">
        <f t="shared" si="4"/>
        <v>186756.33710211475</v>
      </c>
      <c r="W31" s="180"/>
      <c r="X31" s="180"/>
      <c r="Y31" s="180"/>
      <c r="Z31" s="15"/>
    </row>
    <row r="32" spans="1:26" x14ac:dyDescent="0.25">
      <c r="A32" s="111">
        <f>Données!A32</f>
        <v>5431</v>
      </c>
      <c r="B32" s="119" t="str">
        <f>Données!B32</f>
        <v>Mollens</v>
      </c>
      <c r="C32" s="307">
        <f>Ressources!H32</f>
        <v>-101932.84733861266</v>
      </c>
      <c r="D32" s="307">
        <f>Ressources!L32</f>
        <v>0</v>
      </c>
      <c r="E32" s="335">
        <f>Ressources!T32</f>
        <v>-49242.405792038189</v>
      </c>
      <c r="F32" s="308">
        <f t="shared" si="0"/>
        <v>-151175.25313065085</v>
      </c>
      <c r="G32" s="307">
        <f>'Besoins structurels'!I32</f>
        <v>-91095</v>
      </c>
      <c r="H32" s="307">
        <f>'Besoins structurels'!N32</f>
        <v>-34521</v>
      </c>
      <c r="I32" s="307">
        <f>'Besoins structurels'!V32</f>
        <v>0</v>
      </c>
      <c r="J32" s="309">
        <f t="shared" si="1"/>
        <v>-125616</v>
      </c>
      <c r="K32" s="307">
        <f>'Charges des villes'!N32</f>
        <v>148580.67517018004</v>
      </c>
      <c r="L32" s="307">
        <f>'Charges des villes'!U32</f>
        <v>32370.153915152921</v>
      </c>
      <c r="M32" s="302">
        <f t="shared" si="2"/>
        <v>180950.82908533295</v>
      </c>
      <c r="N32" s="308">
        <f>-VLOOKUP(A32,Paramètres!$B$23:$C$322,2,FALSE)*$N$5</f>
        <v>0</v>
      </c>
      <c r="O32" s="322"/>
      <c r="P32" s="602">
        <f t="shared" si="3"/>
        <v>-95840.424045317894</v>
      </c>
      <c r="Q32" s="603"/>
      <c r="R32" s="603"/>
      <c r="S32" s="604"/>
      <c r="T32" s="308">
        <f>PCS!D32</f>
        <v>311559.8147706734</v>
      </c>
      <c r="U32" s="303">
        <f>Police!U32</f>
        <v>46392.483140915494</v>
      </c>
      <c r="V32" s="336">
        <f t="shared" si="4"/>
        <v>262111.87386627099</v>
      </c>
      <c r="W32" s="180"/>
      <c r="X32" s="180"/>
      <c r="Y32" s="180"/>
      <c r="Z32" s="15"/>
    </row>
    <row r="33" spans="1:26" x14ac:dyDescent="0.25">
      <c r="A33" s="111">
        <f>Données!A33</f>
        <v>5434</v>
      </c>
      <c r="B33" s="119" t="str">
        <f>Données!B33</f>
        <v>Saint-George</v>
      </c>
      <c r="C33" s="307">
        <f>Ressources!H33</f>
        <v>188814.6750375386</v>
      </c>
      <c r="D33" s="307">
        <f>Ressources!L33</f>
        <v>0</v>
      </c>
      <c r="E33" s="335">
        <f>Ressources!T33</f>
        <v>-159182.35986557911</v>
      </c>
      <c r="F33" s="308">
        <f t="shared" si="0"/>
        <v>29632.31517195949</v>
      </c>
      <c r="G33" s="307">
        <f>'Besoins structurels'!I33</f>
        <v>-42728</v>
      </c>
      <c r="H33" s="307">
        <f>'Besoins structurels'!N33</f>
        <v>-154827</v>
      </c>
      <c r="I33" s="307">
        <f>'Besoins structurels'!V33</f>
        <v>0</v>
      </c>
      <c r="J33" s="309">
        <f t="shared" si="1"/>
        <v>-197555</v>
      </c>
      <c r="K33" s="307">
        <f>'Charges des villes'!N33</f>
        <v>482715.70762243529</v>
      </c>
      <c r="L33" s="307">
        <f>'Charges des villes'!U33</f>
        <v>109451.58292561083</v>
      </c>
      <c r="M33" s="302">
        <f t="shared" si="2"/>
        <v>592167.29054804612</v>
      </c>
      <c r="N33" s="308">
        <f>-VLOOKUP(A33,Paramètres!$B$23:$C$322,2,FALSE)*$N$5</f>
        <v>0</v>
      </c>
      <c r="O33" s="322"/>
      <c r="P33" s="602">
        <f t="shared" si="3"/>
        <v>424244.60572000558</v>
      </c>
      <c r="Q33" s="603"/>
      <c r="R33" s="603"/>
      <c r="S33" s="604"/>
      <c r="T33" s="308">
        <f>PCS!D33</f>
        <v>1053461.6236933395</v>
      </c>
      <c r="U33" s="303">
        <f>Police!U33</f>
        <v>158873.51675475368</v>
      </c>
      <c r="V33" s="336">
        <f t="shared" si="4"/>
        <v>1636579.7461680986</v>
      </c>
      <c r="W33" s="180"/>
      <c r="X33" s="180"/>
      <c r="Y33" s="180"/>
      <c r="Z33" s="15"/>
    </row>
    <row r="34" spans="1:26" x14ac:dyDescent="0.25">
      <c r="A34" s="111">
        <f>Données!A34</f>
        <v>5435</v>
      </c>
      <c r="B34" s="119" t="str">
        <f>Données!B34</f>
        <v>Saint-Livres</v>
      </c>
      <c r="C34" s="307">
        <f>Ressources!H34</f>
        <v>-647643.74947712163</v>
      </c>
      <c r="D34" s="307">
        <f>Ressources!L34</f>
        <v>0</v>
      </c>
      <c r="E34" s="335">
        <f>Ressources!T34</f>
        <v>-141131.8636273845</v>
      </c>
      <c r="F34" s="308">
        <f t="shared" si="0"/>
        <v>-788775.61310450616</v>
      </c>
      <c r="G34" s="307">
        <f>'Besoins structurels'!I34</f>
        <v>-28115</v>
      </c>
      <c r="H34" s="307">
        <f>'Besoins structurels'!N34</f>
        <v>0</v>
      </c>
      <c r="I34" s="307">
        <f>'Besoins structurels'!V34</f>
        <v>0</v>
      </c>
      <c r="J34" s="309">
        <f t="shared" si="1"/>
        <v>-28115</v>
      </c>
      <c r="K34" s="307">
        <f>'Charges des villes'!N34</f>
        <v>328734.74381402333</v>
      </c>
      <c r="L34" s="307">
        <f>'Charges des villes'!U34</f>
        <v>71618.965537275843</v>
      </c>
      <c r="M34" s="302">
        <f t="shared" si="2"/>
        <v>400353.70935129916</v>
      </c>
      <c r="N34" s="308">
        <f>-VLOOKUP(A34,Paramètres!$B$23:$C$322,2,FALSE)*$N$5</f>
        <v>0</v>
      </c>
      <c r="O34" s="322"/>
      <c r="P34" s="602">
        <f t="shared" si="3"/>
        <v>-416536.90375320701</v>
      </c>
      <c r="Q34" s="603"/>
      <c r="R34" s="603"/>
      <c r="S34" s="604"/>
      <c r="T34" s="308">
        <f>PCS!D34</f>
        <v>689326.09018011484</v>
      </c>
      <c r="U34" s="303">
        <f>Police!U34</f>
        <v>102643.36894927552</v>
      </c>
      <c r="V34" s="336">
        <f t="shared" si="4"/>
        <v>375432.55537618336</v>
      </c>
      <c r="W34" s="180"/>
      <c r="X34" s="180"/>
      <c r="Y34" s="180"/>
      <c r="Z34" s="15"/>
    </row>
    <row r="35" spans="1:26" x14ac:dyDescent="0.25">
      <c r="A35" s="111">
        <f>Données!A35</f>
        <v>5436</v>
      </c>
      <c r="B35" s="119" t="str">
        <f>Données!B35</f>
        <v>Saint-Oyens</v>
      </c>
      <c r="C35" s="307">
        <f>Ressources!H35</f>
        <v>-187651.26679907125</v>
      </c>
      <c r="D35" s="307">
        <f>Ressources!L35</f>
        <v>0</v>
      </c>
      <c r="E35" s="335">
        <f>Ressources!T35</f>
        <v>-15502.66158007858</v>
      </c>
      <c r="F35" s="308">
        <f t="shared" si="0"/>
        <v>-203153.92837914982</v>
      </c>
      <c r="G35" s="307">
        <f>'Besoins structurels'!I35</f>
        <v>0</v>
      </c>
      <c r="H35" s="307">
        <f>'Besoins structurels'!N35</f>
        <v>-17120</v>
      </c>
      <c r="I35" s="307">
        <f>'Besoins structurels'!V35</f>
        <v>-18544</v>
      </c>
      <c r="J35" s="309">
        <f t="shared" si="1"/>
        <v>-35664</v>
      </c>
      <c r="K35" s="307">
        <f>'Charges des villes'!N35</f>
        <v>208477.25984815884</v>
      </c>
      <c r="L35" s="307">
        <f>'Charges des villes'!U35</f>
        <v>45419.372212198949</v>
      </c>
      <c r="M35" s="302">
        <f t="shared" si="2"/>
        <v>253896.63206035778</v>
      </c>
      <c r="N35" s="308">
        <f>-VLOOKUP(A35,Paramètres!$B$23:$C$322,2,FALSE)*$N$5</f>
        <v>0</v>
      </c>
      <c r="O35" s="322"/>
      <c r="P35" s="602">
        <f t="shared" si="3"/>
        <v>15078.70368120796</v>
      </c>
      <c r="Q35" s="603"/>
      <c r="R35" s="603"/>
      <c r="S35" s="604"/>
      <c r="T35" s="308">
        <f>PCS!D35</f>
        <v>437157.3651001011</v>
      </c>
      <c r="U35" s="303">
        <f>Police!U35</f>
        <v>65094.452907097046</v>
      </c>
      <c r="V35" s="336">
        <f t="shared" si="4"/>
        <v>517330.52168840612</v>
      </c>
      <c r="W35" s="180"/>
      <c r="X35" s="180"/>
      <c r="Y35" s="180"/>
      <c r="Z35" s="15"/>
    </row>
    <row r="36" spans="1:26" x14ac:dyDescent="0.25">
      <c r="A36" s="111">
        <f>Données!A36</f>
        <v>5437</v>
      </c>
      <c r="B36" s="119" t="str">
        <f>Données!B36</f>
        <v>Saubraz</v>
      </c>
      <c r="C36" s="307">
        <f>Ressources!H36</f>
        <v>-403794.14338788972</v>
      </c>
      <c r="D36" s="307">
        <f>Ressources!L36</f>
        <v>0</v>
      </c>
      <c r="E36" s="335">
        <f>Ressources!T36</f>
        <v>-52069.507810277632</v>
      </c>
      <c r="F36" s="308">
        <f t="shared" si="0"/>
        <v>-455863.65119816735</v>
      </c>
      <c r="G36" s="307">
        <f>'Besoins structurels'!I36</f>
        <v>-3073</v>
      </c>
      <c r="H36" s="307">
        <f>'Besoins structurels'!N36</f>
        <v>-608</v>
      </c>
      <c r="I36" s="307">
        <f>'Besoins structurels'!V36</f>
        <v>-24257</v>
      </c>
      <c r="J36" s="309">
        <f t="shared" si="1"/>
        <v>-27938</v>
      </c>
      <c r="K36" s="307">
        <f>'Charges des villes'!N36</f>
        <v>204762.74296890432</v>
      </c>
      <c r="L36" s="307">
        <f>'Charges des villes'!U36</f>
        <v>44610.118364320122</v>
      </c>
      <c r="M36" s="302">
        <f t="shared" si="2"/>
        <v>249372.86133322446</v>
      </c>
      <c r="N36" s="308">
        <f>-VLOOKUP(A36,Paramètres!$B$23:$C$322,2,FALSE)*$N$5</f>
        <v>-29100</v>
      </c>
      <c r="O36" s="322"/>
      <c r="P36" s="602">
        <f t="shared" si="3"/>
        <v>-263528.7898649429</v>
      </c>
      <c r="Q36" s="603"/>
      <c r="R36" s="603"/>
      <c r="S36" s="604"/>
      <c r="T36" s="308">
        <f>PCS!D36</f>
        <v>429368.36973083427</v>
      </c>
      <c r="U36" s="303">
        <f>Police!U36</f>
        <v>63934.640828574164</v>
      </c>
      <c r="V36" s="336">
        <f t="shared" si="4"/>
        <v>229774.22069446553</v>
      </c>
      <c r="W36" s="180"/>
      <c r="X36" s="180"/>
      <c r="Y36" s="180"/>
      <c r="Z36" s="15"/>
    </row>
    <row r="37" spans="1:26" x14ac:dyDescent="0.25">
      <c r="A37" s="111">
        <f>Données!A37</f>
        <v>5451</v>
      </c>
      <c r="B37" s="119" t="str">
        <f>Données!B37</f>
        <v>Avenches</v>
      </c>
      <c r="C37" s="307">
        <f>Ressources!H37</f>
        <v>-6135752.0887335055</v>
      </c>
      <c r="D37" s="307">
        <f>Ressources!L37</f>
        <v>0</v>
      </c>
      <c r="E37" s="335">
        <f>Ressources!T37</f>
        <v>-747483.31897801603</v>
      </c>
      <c r="F37" s="308">
        <f t="shared" si="0"/>
        <v>-6883235.4077115217</v>
      </c>
      <c r="G37" s="307">
        <f>'Besoins structurels'!I37</f>
        <v>0</v>
      </c>
      <c r="H37" s="307">
        <f>'Besoins structurels'!N37</f>
        <v>0</v>
      </c>
      <c r="I37" s="307">
        <f>'Besoins structurels'!V37</f>
        <v>-77495</v>
      </c>
      <c r="J37" s="309">
        <f t="shared" si="1"/>
        <v>-77495</v>
      </c>
      <c r="K37" s="307">
        <f>'Charges des villes'!N37</f>
        <v>778714.65455983719</v>
      </c>
      <c r="L37" s="307">
        <f>'Charges des villes'!U37</f>
        <v>286399.68856797635</v>
      </c>
      <c r="M37" s="302">
        <f t="shared" si="2"/>
        <v>1065114.3431278137</v>
      </c>
      <c r="N37" s="308">
        <f>-VLOOKUP(A37,Paramètres!$B$23:$C$322,2,FALSE)*$N$5</f>
        <v>-224200</v>
      </c>
      <c r="O37" s="322"/>
      <c r="P37" s="602">
        <f t="shared" si="3"/>
        <v>-6119816.0645837076</v>
      </c>
      <c r="Q37" s="603"/>
      <c r="R37" s="603"/>
      <c r="S37" s="604"/>
      <c r="T37" s="308">
        <f>PCS!D37</f>
        <v>4822361.7579973293</v>
      </c>
      <c r="U37" s="303">
        <f>Police!U37</f>
        <v>838837.38344086392</v>
      </c>
      <c r="V37" s="336">
        <f t="shared" si="4"/>
        <v>-458616.92314551433</v>
      </c>
      <c r="W37" s="180"/>
      <c r="X37" s="180"/>
      <c r="Y37" s="180"/>
      <c r="Z37" s="15"/>
    </row>
    <row r="38" spans="1:26" x14ac:dyDescent="0.25">
      <c r="A38" s="111">
        <f>Données!A38</f>
        <v>5456</v>
      </c>
      <c r="B38" s="119" t="str">
        <f>Données!B38</f>
        <v>Cudrefin</v>
      </c>
      <c r="C38" s="307">
        <f>Ressources!H38</f>
        <v>-1532855.5678940825</v>
      </c>
      <c r="D38" s="307">
        <f>Ressources!L38</f>
        <v>0</v>
      </c>
      <c r="E38" s="335">
        <f>Ressources!T38</f>
        <v>-256233.37739610355</v>
      </c>
      <c r="F38" s="308">
        <f t="shared" si="0"/>
        <v>-1789088.945290186</v>
      </c>
      <c r="G38" s="307">
        <f>'Besoins structurels'!I38</f>
        <v>0</v>
      </c>
      <c r="H38" s="307">
        <f>'Besoins structurels'!N38</f>
        <v>0</v>
      </c>
      <c r="I38" s="307">
        <f>'Besoins structurels'!V38</f>
        <v>0</v>
      </c>
      <c r="J38" s="309">
        <f t="shared" si="1"/>
        <v>0</v>
      </c>
      <c r="K38" s="307">
        <f>'Charges des villes'!N38</f>
        <v>669643.93197748065</v>
      </c>
      <c r="L38" s="307">
        <f>'Charges des villes'!U38</f>
        <v>193715.13983599326</v>
      </c>
      <c r="M38" s="302">
        <f t="shared" si="2"/>
        <v>863359.07181347394</v>
      </c>
      <c r="N38" s="308">
        <f>-VLOOKUP(A38,Paramètres!$B$23:$C$322,2,FALSE)*$N$5</f>
        <v>0</v>
      </c>
      <c r="O38" s="322"/>
      <c r="P38" s="602">
        <f t="shared" si="3"/>
        <v>-925729.87347671203</v>
      </c>
      <c r="Q38" s="603"/>
      <c r="R38" s="603"/>
      <c r="S38" s="604"/>
      <c r="T38" s="308">
        <f>PCS!D38</f>
        <v>1864490.7665182487</v>
      </c>
      <c r="U38" s="303">
        <f>Police!U38</f>
        <v>300046.77017565822</v>
      </c>
      <c r="V38" s="336">
        <f t="shared" si="4"/>
        <v>1238807.6632171948</v>
      </c>
      <c r="W38" s="180"/>
      <c r="X38" s="180"/>
      <c r="Y38" s="180"/>
      <c r="Z38" s="15"/>
    </row>
    <row r="39" spans="1:26" x14ac:dyDescent="0.25">
      <c r="A39" s="111">
        <f>Données!A39</f>
        <v>5458</v>
      </c>
      <c r="B39" s="119" t="str">
        <f>Données!B39</f>
        <v>Faoug</v>
      </c>
      <c r="C39" s="307">
        <f>Ressources!H39</f>
        <v>-796307.19795335864</v>
      </c>
      <c r="D39" s="307">
        <f>Ressources!L39</f>
        <v>0</v>
      </c>
      <c r="E39" s="335">
        <f>Ressources!T39</f>
        <v>-116343.10504505766</v>
      </c>
      <c r="F39" s="308">
        <f t="shared" si="0"/>
        <v>-912650.30299841636</v>
      </c>
      <c r="G39" s="307">
        <f>'Besoins structurels'!I39</f>
        <v>0</v>
      </c>
      <c r="H39" s="307">
        <f>'Besoins structurels'!N39</f>
        <v>0</v>
      </c>
      <c r="I39" s="307">
        <f>'Besoins structurels'!V39</f>
        <v>0</v>
      </c>
      <c r="J39" s="309">
        <f t="shared" si="1"/>
        <v>0</v>
      </c>
      <c r="K39" s="307">
        <f>'Charges des villes'!N39</f>
        <v>418811.77813594497</v>
      </c>
      <c r="L39" s="307">
        <f>'Charges des villes'!U39</f>
        <v>91243.371348337299</v>
      </c>
      <c r="M39" s="302">
        <f t="shared" si="2"/>
        <v>510055.14948428224</v>
      </c>
      <c r="N39" s="308">
        <f>-VLOOKUP(A39,Paramètres!$B$23:$C$322,2,FALSE)*$N$5</f>
        <v>0</v>
      </c>
      <c r="O39" s="322"/>
      <c r="P39" s="602">
        <f t="shared" si="3"/>
        <v>-402595.15351413412</v>
      </c>
      <c r="Q39" s="603"/>
      <c r="R39" s="603"/>
      <c r="S39" s="604"/>
      <c r="T39" s="308">
        <f>PCS!D39</f>
        <v>878209.22788483568</v>
      </c>
      <c r="U39" s="303">
        <f>Police!U39</f>
        <v>130768.81185345555</v>
      </c>
      <c r="V39" s="336">
        <f t="shared" si="4"/>
        <v>606382.88622415718</v>
      </c>
      <c r="W39" s="180"/>
      <c r="X39" s="180"/>
      <c r="Y39" s="180"/>
      <c r="Z39" s="15"/>
    </row>
    <row r="40" spans="1:26" x14ac:dyDescent="0.25">
      <c r="A40" s="111">
        <f>Données!A40</f>
        <v>5464</v>
      </c>
      <c r="B40" s="119" t="str">
        <f>Données!B40</f>
        <v>Vully-les-Lacs</v>
      </c>
      <c r="C40" s="307">
        <f>Ressources!H40</f>
        <v>-3324998.0847265888</v>
      </c>
      <c r="D40" s="307">
        <f>Ressources!L40</f>
        <v>0</v>
      </c>
      <c r="E40" s="335">
        <f>Ressources!T40</f>
        <v>-516595.80259049125</v>
      </c>
      <c r="F40" s="308">
        <f t="shared" si="0"/>
        <v>-3841593.8873170801</v>
      </c>
      <c r="G40" s="307">
        <f>'Besoins structurels'!I40</f>
        <v>0</v>
      </c>
      <c r="H40" s="307">
        <f>'Besoins structurels'!N40</f>
        <v>0</v>
      </c>
      <c r="I40" s="307">
        <f>'Besoins structurels'!V40</f>
        <v>0</v>
      </c>
      <c r="J40" s="309">
        <f t="shared" si="1"/>
        <v>0</v>
      </c>
      <c r="K40" s="307">
        <f>'Charges des villes'!N40</f>
        <v>865084.88341956679</v>
      </c>
      <c r="L40" s="307">
        <f>'Charges des villes'!U40</f>
        <v>374077.59118198598</v>
      </c>
      <c r="M40" s="302">
        <f t="shared" si="2"/>
        <v>1239162.4746015528</v>
      </c>
      <c r="N40" s="308">
        <f>-VLOOKUP(A40,Paramètres!$B$23:$C$322,2,FALSE)*$N$5</f>
        <v>0</v>
      </c>
      <c r="O40" s="322"/>
      <c r="P40" s="602">
        <f t="shared" si="3"/>
        <v>-2602431.4127155272</v>
      </c>
      <c r="Q40" s="603"/>
      <c r="R40" s="603"/>
      <c r="S40" s="604"/>
      <c r="T40" s="308">
        <f>PCS!D40</f>
        <v>3600463.1094435947</v>
      </c>
      <c r="U40" s="303">
        <f>Police!U40</f>
        <v>610772.14867430925</v>
      </c>
      <c r="V40" s="336">
        <f t="shared" si="4"/>
        <v>1608803.8454023767</v>
      </c>
      <c r="W40" s="180"/>
      <c r="X40" s="180"/>
      <c r="Y40" s="180"/>
      <c r="Z40" s="15"/>
    </row>
    <row r="41" spans="1:26" x14ac:dyDescent="0.25">
      <c r="A41" s="111">
        <f>Données!A41</f>
        <v>5471</v>
      </c>
      <c r="B41" s="119" t="str">
        <f>Données!B41</f>
        <v>Bettens</v>
      </c>
      <c r="C41" s="307">
        <f>Ressources!H41</f>
        <v>-425400.05510967621</v>
      </c>
      <c r="D41" s="307">
        <f>Ressources!L41</f>
        <v>0</v>
      </c>
      <c r="E41" s="335">
        <f>Ressources!T41</f>
        <v>-106272.96223877781</v>
      </c>
      <c r="F41" s="308">
        <f t="shared" si="0"/>
        <v>-531673.01734845398</v>
      </c>
      <c r="G41" s="307">
        <f>'Besoins structurels'!I41</f>
        <v>0</v>
      </c>
      <c r="H41" s="307">
        <f>'Besoins structurels'!N41</f>
        <v>0</v>
      </c>
      <c r="I41" s="307">
        <f>'Besoins structurels'!V41</f>
        <v>-29003</v>
      </c>
      <c r="J41" s="309">
        <f t="shared" si="1"/>
        <v>-29003</v>
      </c>
      <c r="K41" s="307">
        <f>'Charges des villes'!N41</f>
        <v>302733.12565924181</v>
      </c>
      <c r="L41" s="307">
        <f>'Charges des villes'!U41</f>
        <v>65954.188602124079</v>
      </c>
      <c r="M41" s="302">
        <f t="shared" si="2"/>
        <v>368687.31426136591</v>
      </c>
      <c r="N41" s="308">
        <f>-VLOOKUP(A41,Paramètres!$B$23:$C$322,2,FALSE)*$N$5</f>
        <v>0</v>
      </c>
      <c r="O41" s="322"/>
      <c r="P41" s="602">
        <f t="shared" si="3"/>
        <v>-191988.70308708807</v>
      </c>
      <c r="Q41" s="603"/>
      <c r="R41" s="603"/>
      <c r="S41" s="604"/>
      <c r="T41" s="308">
        <f>PCS!D41</f>
        <v>634803.12259524711</v>
      </c>
      <c r="U41" s="303">
        <f>Police!U41</f>
        <v>94524.684399615318</v>
      </c>
      <c r="V41" s="336">
        <f t="shared" si="4"/>
        <v>537339.10390777432</v>
      </c>
      <c r="W41" s="180"/>
      <c r="X41" s="180"/>
      <c r="Y41" s="180"/>
      <c r="Z41" s="15"/>
    </row>
    <row r="42" spans="1:26" x14ac:dyDescent="0.25">
      <c r="A42" s="111">
        <f>Données!A42</f>
        <v>5472</v>
      </c>
      <c r="B42" s="119" t="str">
        <f>Données!B42</f>
        <v>Bournens</v>
      </c>
      <c r="C42" s="307">
        <f>Ressources!H42</f>
        <v>-419168.02879396704</v>
      </c>
      <c r="D42" s="307">
        <f>Ressources!L42</f>
        <v>0</v>
      </c>
      <c r="E42" s="335">
        <f>Ressources!T42</f>
        <v>40135.561610226985</v>
      </c>
      <c r="F42" s="308">
        <f t="shared" si="0"/>
        <v>-379032.46718374005</v>
      </c>
      <c r="G42" s="307">
        <f>'Besoins structurels'!I42</f>
        <v>0</v>
      </c>
      <c r="H42" s="307">
        <f>'Besoins structurels'!N42</f>
        <v>0</v>
      </c>
      <c r="I42" s="307">
        <f>'Besoins structurels'!V42</f>
        <v>0</v>
      </c>
      <c r="J42" s="309">
        <f t="shared" si="1"/>
        <v>0</v>
      </c>
      <c r="K42" s="307">
        <f>'Charges des villes'!N42</f>
        <v>284160.54126296932</v>
      </c>
      <c r="L42" s="307">
        <f>'Charges des villes'!U42</f>
        <v>61907.919362729968</v>
      </c>
      <c r="M42" s="302">
        <f t="shared" si="2"/>
        <v>346068.46062569926</v>
      </c>
      <c r="N42" s="308">
        <f>-VLOOKUP(A42,Paramètres!$B$23:$C$322,2,FALSE)*$N$5</f>
        <v>0</v>
      </c>
      <c r="O42" s="322"/>
      <c r="P42" s="602">
        <f t="shared" si="3"/>
        <v>-32964.006558040797</v>
      </c>
      <c r="Q42" s="603"/>
      <c r="R42" s="603"/>
      <c r="S42" s="604"/>
      <c r="T42" s="308">
        <f>PCS!D42</f>
        <v>595858.14574891282</v>
      </c>
      <c r="U42" s="303">
        <f>Police!U42</f>
        <v>88725.624007000879</v>
      </c>
      <c r="V42" s="336">
        <f t="shared" si="4"/>
        <v>651619.76319787279</v>
      </c>
      <c r="W42" s="180"/>
      <c r="X42" s="180"/>
      <c r="Y42" s="180"/>
      <c r="Z42" s="15"/>
    </row>
    <row r="43" spans="1:26" x14ac:dyDescent="0.25">
      <c r="A43" s="111">
        <f>Données!A43</f>
        <v>5473</v>
      </c>
      <c r="B43" s="119" t="str">
        <f>Données!B43</f>
        <v>Boussens</v>
      </c>
      <c r="C43" s="307">
        <f>Ressources!H43</f>
        <v>-811070.40493470361</v>
      </c>
      <c r="D43" s="307">
        <f>Ressources!L43</f>
        <v>0</v>
      </c>
      <c r="E43" s="335">
        <f>Ressources!T43</f>
        <v>-122940.33876472124</v>
      </c>
      <c r="F43" s="308">
        <f t="shared" si="0"/>
        <v>-934010.7436994249</v>
      </c>
      <c r="G43" s="307">
        <f>'Besoins structurels'!I43</f>
        <v>0</v>
      </c>
      <c r="H43" s="307">
        <f>'Besoins structurels'!N43</f>
        <v>0</v>
      </c>
      <c r="I43" s="307">
        <f>'Besoins structurels'!V43</f>
        <v>-139999</v>
      </c>
      <c r="J43" s="309">
        <f t="shared" si="1"/>
        <v>-139999</v>
      </c>
      <c r="K43" s="307">
        <f>'Charges des villes'!N43</f>
        <v>467905.06799766573</v>
      </c>
      <c r="L43" s="307">
        <f>'Charges des villes'!U43</f>
        <v>102775.23868061054</v>
      </c>
      <c r="M43" s="302">
        <f t="shared" si="2"/>
        <v>570680.30667827628</v>
      </c>
      <c r="N43" s="308">
        <f>-VLOOKUP(A43,Paramètres!$B$23:$C$322,2,FALSE)*$N$5</f>
        <v>0</v>
      </c>
      <c r="O43" s="322"/>
      <c r="P43" s="602">
        <f t="shared" si="3"/>
        <v>-503329.43702114862</v>
      </c>
      <c r="Q43" s="603"/>
      <c r="R43" s="603"/>
      <c r="S43" s="604"/>
      <c r="T43" s="308">
        <f>PCS!D43</f>
        <v>989202.41189688805</v>
      </c>
      <c r="U43" s="303">
        <f>Police!U43</f>
        <v>147688.12092548632</v>
      </c>
      <c r="V43" s="336">
        <f t="shared" si="4"/>
        <v>633561.09580122575</v>
      </c>
      <c r="W43" s="180"/>
      <c r="X43" s="180"/>
      <c r="Y43" s="180"/>
      <c r="Z43" s="15"/>
    </row>
    <row r="44" spans="1:26" x14ac:dyDescent="0.25">
      <c r="A44" s="111">
        <f>Données!A44</f>
        <v>5474</v>
      </c>
      <c r="B44" s="119" t="str">
        <f>Données!B44</f>
        <v>La Chaux (Cossonay)</v>
      </c>
      <c r="C44" s="307">
        <f>Ressources!H44</f>
        <v>-438622.47639008984</v>
      </c>
      <c r="D44" s="307">
        <f>Ressources!L44</f>
        <v>0</v>
      </c>
      <c r="E44" s="335">
        <f>Ressources!T44</f>
        <v>-83965.518385775242</v>
      </c>
      <c r="F44" s="308">
        <f t="shared" si="0"/>
        <v>-522587.99477586511</v>
      </c>
      <c r="G44" s="307">
        <f>'Besoins structurels'!I44</f>
        <v>-37545</v>
      </c>
      <c r="H44" s="307">
        <f>'Besoins structurels'!N44</f>
        <v>0</v>
      </c>
      <c r="I44" s="307">
        <f>'Besoins structurels'!V44</f>
        <v>0</v>
      </c>
      <c r="J44" s="309">
        <f t="shared" si="1"/>
        <v>-37545</v>
      </c>
      <c r="K44" s="307">
        <f>'Charges des villes'!N44</f>
        <v>195476.4507707681</v>
      </c>
      <c r="L44" s="307">
        <f>'Charges des villes'!U44</f>
        <v>42586.983744623067</v>
      </c>
      <c r="M44" s="302">
        <f t="shared" si="2"/>
        <v>238063.43451539119</v>
      </c>
      <c r="N44" s="308">
        <f>-VLOOKUP(A44,Paramètres!$B$23:$C$322,2,FALSE)*$N$5</f>
        <v>-40700</v>
      </c>
      <c r="O44" s="322"/>
      <c r="P44" s="602">
        <f t="shared" si="3"/>
        <v>-362769.56026047393</v>
      </c>
      <c r="Q44" s="603"/>
      <c r="R44" s="603"/>
      <c r="S44" s="604"/>
      <c r="T44" s="308">
        <f>PCS!D44</f>
        <v>409895.88130766718</v>
      </c>
      <c r="U44" s="303">
        <f>Police!U44</f>
        <v>61035.110632266944</v>
      </c>
      <c r="V44" s="336">
        <f t="shared" si="4"/>
        <v>108161.43167946019</v>
      </c>
      <c r="W44" s="180"/>
      <c r="X44" s="180"/>
      <c r="Y44" s="180"/>
      <c r="Z44" s="15"/>
    </row>
    <row r="45" spans="1:26" x14ac:dyDescent="0.25">
      <c r="A45" s="111">
        <f>Données!A45</f>
        <v>5475</v>
      </c>
      <c r="B45" s="119" t="str">
        <f>Données!B45</f>
        <v>Chavannes-le-Veyron</v>
      </c>
      <c r="C45" s="307">
        <f>Ressources!H45</f>
        <v>-180520.57616833807</v>
      </c>
      <c r="D45" s="307">
        <f>Ressources!L45</f>
        <v>0</v>
      </c>
      <c r="E45" s="335">
        <f>Ressources!T45</f>
        <v>-40677.550396019091</v>
      </c>
      <c r="F45" s="308">
        <f t="shared" si="0"/>
        <v>-221198.12656435717</v>
      </c>
      <c r="G45" s="307">
        <f>'Besoins structurels'!I45</f>
        <v>-15106</v>
      </c>
      <c r="H45" s="307">
        <f>'Besoins structurels'!N45</f>
        <v>0</v>
      </c>
      <c r="I45" s="307">
        <f>'Besoins structurels'!V45</f>
        <v>-38636</v>
      </c>
      <c r="J45" s="309">
        <f t="shared" si="1"/>
        <v>-53742</v>
      </c>
      <c r="K45" s="307">
        <f>'Charges des villes'!N45</f>
        <v>74290.337585090019</v>
      </c>
      <c r="L45" s="307">
        <f>'Charges des villes'!U45</f>
        <v>16185.076957576461</v>
      </c>
      <c r="M45" s="302">
        <f t="shared" si="2"/>
        <v>90475.414542666476</v>
      </c>
      <c r="N45" s="308">
        <f>-VLOOKUP(A45,Paramètres!$B$23:$C$322,2,FALSE)*$N$5</f>
        <v>-18100</v>
      </c>
      <c r="O45" s="322"/>
      <c r="P45" s="602">
        <f t="shared" si="3"/>
        <v>-202564.71202169074</v>
      </c>
      <c r="Q45" s="603"/>
      <c r="R45" s="603"/>
      <c r="S45" s="604"/>
      <c r="T45" s="308">
        <f>PCS!D45</f>
        <v>155779.9073853367</v>
      </c>
      <c r="U45" s="303">
        <f>Police!U45</f>
        <v>23196.241570457747</v>
      </c>
      <c r="V45" s="336">
        <f t="shared" si="4"/>
        <v>-23588.563065896287</v>
      </c>
      <c r="W45" s="180"/>
      <c r="X45" s="180"/>
      <c r="Y45" s="180"/>
      <c r="Z45" s="15"/>
    </row>
    <row r="46" spans="1:26" x14ac:dyDescent="0.25">
      <c r="A46" s="111">
        <f>Données!A46</f>
        <v>5476</v>
      </c>
      <c r="B46" s="119" t="str">
        <f>Données!B46</f>
        <v>Chevilly</v>
      </c>
      <c r="C46" s="307">
        <f>Ressources!H46</f>
        <v>-333345.28939256334</v>
      </c>
      <c r="D46" s="307">
        <f>Ressources!L46</f>
        <v>0</v>
      </c>
      <c r="E46" s="335">
        <f>Ressources!T46</f>
        <v>-3972.2375726661703</v>
      </c>
      <c r="F46" s="308">
        <f t="shared" si="0"/>
        <v>-337317.52696522954</v>
      </c>
      <c r="G46" s="307">
        <f>'Besoins structurels'!I46</f>
        <v>-12499</v>
      </c>
      <c r="H46" s="307">
        <f>'Besoins structurels'!N46</f>
        <v>0</v>
      </c>
      <c r="I46" s="307">
        <f>'Besoins structurels'!V46</f>
        <v>-39931</v>
      </c>
      <c r="J46" s="309">
        <f t="shared" si="1"/>
        <v>-52430</v>
      </c>
      <c r="K46" s="307">
        <f>'Charges des villes'!N46</f>
        <v>160188.54041785034</v>
      </c>
      <c r="L46" s="307">
        <f>'Charges des villes'!U46</f>
        <v>34899.072189774248</v>
      </c>
      <c r="M46" s="302">
        <f t="shared" si="2"/>
        <v>195087.61260762459</v>
      </c>
      <c r="N46" s="308">
        <f>-VLOOKUP(A46,Paramètres!$B$23:$C$322,2,FALSE)*$N$5</f>
        <v>0</v>
      </c>
      <c r="O46" s="322"/>
      <c r="P46" s="602">
        <f t="shared" si="3"/>
        <v>-194659.91435760495</v>
      </c>
      <c r="Q46" s="603"/>
      <c r="R46" s="603"/>
      <c r="S46" s="604"/>
      <c r="T46" s="308">
        <f>PCS!D46</f>
        <v>335900.42529963225</v>
      </c>
      <c r="U46" s="303">
        <f>Police!U46</f>
        <v>50016.895886299506</v>
      </c>
      <c r="V46" s="336">
        <f t="shared" si="4"/>
        <v>191257.40682832681</v>
      </c>
      <c r="W46" s="180"/>
      <c r="X46" s="180"/>
      <c r="Y46" s="180"/>
      <c r="Z46" s="15"/>
    </row>
    <row r="47" spans="1:26" x14ac:dyDescent="0.25">
      <c r="A47" s="111">
        <f>Données!A47</f>
        <v>5477</v>
      </c>
      <c r="B47" s="119" t="str">
        <f>Données!B47</f>
        <v>Cossonay</v>
      </c>
      <c r="C47" s="307">
        <f>Ressources!H47</f>
        <v>-5605698.7707333807</v>
      </c>
      <c r="D47" s="307">
        <f>Ressources!L47</f>
        <v>0</v>
      </c>
      <c r="E47" s="335">
        <f>Ressources!T47</f>
        <v>-499929.36887374357</v>
      </c>
      <c r="F47" s="308">
        <f t="shared" si="0"/>
        <v>-6105628.139607124</v>
      </c>
      <c r="G47" s="307">
        <f>'Besoins structurels'!I47</f>
        <v>0</v>
      </c>
      <c r="H47" s="307">
        <f>'Besoins structurels'!N47</f>
        <v>0</v>
      </c>
      <c r="I47" s="307">
        <f>'Besoins structurels'!V47</f>
        <v>0</v>
      </c>
      <c r="J47" s="309">
        <f t="shared" si="1"/>
        <v>0</v>
      </c>
      <c r="K47" s="307">
        <f>'Charges des villes'!N47</f>
        <v>777269.41567055089</v>
      </c>
      <c r="L47" s="307">
        <f>'Charges des villes'!U47</f>
        <v>503153.57991865824</v>
      </c>
      <c r="M47" s="302">
        <f t="shared" si="2"/>
        <v>1280422.9955892093</v>
      </c>
      <c r="N47" s="308">
        <f>-VLOOKUP(A47,Paramètres!$B$23:$C$322,2,FALSE)*$N$5</f>
        <v>-194400</v>
      </c>
      <c r="O47" s="322"/>
      <c r="P47" s="602">
        <f t="shared" si="3"/>
        <v>-5019605.1440179143</v>
      </c>
      <c r="Q47" s="603"/>
      <c r="R47" s="603"/>
      <c r="S47" s="604"/>
      <c r="T47" s="308">
        <f>PCS!D47</f>
        <v>4842807.8708416549</v>
      </c>
      <c r="U47" s="303">
        <f>Police!U47</f>
        <v>842653.61446086201</v>
      </c>
      <c r="V47" s="336">
        <f t="shared" si="4"/>
        <v>665856.34128460265</v>
      </c>
      <c r="W47" s="180"/>
      <c r="X47" s="180"/>
      <c r="Y47" s="180"/>
      <c r="Z47" s="15"/>
    </row>
    <row r="48" spans="1:26" x14ac:dyDescent="0.25">
      <c r="A48" s="111">
        <f>Données!A48</f>
        <v>5479</v>
      </c>
      <c r="B48" s="119" t="str">
        <f>Données!B48</f>
        <v>Cuarnens</v>
      </c>
      <c r="C48" s="307">
        <f>Ressources!H48</f>
        <v>-418042.9948521218</v>
      </c>
      <c r="D48" s="307">
        <f>Ressources!L48</f>
        <v>0</v>
      </c>
      <c r="E48" s="335">
        <f>Ressources!T48</f>
        <v>1332.1125276084931</v>
      </c>
      <c r="F48" s="308">
        <f t="shared" si="0"/>
        <v>-416710.88232451328</v>
      </c>
      <c r="G48" s="307">
        <f>'Besoins structurels'!I48</f>
        <v>-29656</v>
      </c>
      <c r="H48" s="307">
        <f>'Besoins structurels'!N48</f>
        <v>0</v>
      </c>
      <c r="I48" s="307">
        <f>'Besoins structurels'!V48</f>
        <v>-70965</v>
      </c>
      <c r="J48" s="309">
        <f t="shared" si="1"/>
        <v>-100621</v>
      </c>
      <c r="K48" s="307">
        <f>'Charges des villes'!N48</f>
        <v>258623.23771809461</v>
      </c>
      <c r="L48" s="307">
        <f>'Charges des villes'!U48</f>
        <v>56344.299158563059</v>
      </c>
      <c r="M48" s="302">
        <f t="shared" si="2"/>
        <v>314967.53687665769</v>
      </c>
      <c r="N48" s="308">
        <f>-VLOOKUP(A48,Paramètres!$B$23:$C$322,2,FALSE)*$N$5</f>
        <v>-183700</v>
      </c>
      <c r="O48" s="322"/>
      <c r="P48" s="602">
        <f t="shared" si="3"/>
        <v>-386064.34544785559</v>
      </c>
      <c r="Q48" s="603"/>
      <c r="R48" s="603"/>
      <c r="S48" s="604"/>
      <c r="T48" s="308">
        <f>PCS!D48</f>
        <v>542308.80258520343</v>
      </c>
      <c r="U48" s="303">
        <f>Police!U48</f>
        <v>80751.915967156034</v>
      </c>
      <c r="V48" s="336">
        <f t="shared" si="4"/>
        <v>236996.37310450387</v>
      </c>
      <c r="W48" s="180"/>
      <c r="X48" s="180"/>
      <c r="Y48" s="180"/>
      <c r="Z48" s="15"/>
    </row>
    <row r="49" spans="1:26" x14ac:dyDescent="0.25">
      <c r="A49" s="111">
        <f>Données!A49</f>
        <v>5480</v>
      </c>
      <c r="B49" s="119" t="str">
        <f>Données!B49</f>
        <v>Daillens</v>
      </c>
      <c r="C49" s="307">
        <f>Ressources!H49</f>
        <v>-513950.61399559653</v>
      </c>
      <c r="D49" s="307">
        <f>Ressources!L49</f>
        <v>0</v>
      </c>
      <c r="E49" s="335">
        <f>Ressources!T49</f>
        <v>-130287.46947355781</v>
      </c>
      <c r="F49" s="308">
        <f t="shared" si="0"/>
        <v>-644238.08346915431</v>
      </c>
      <c r="G49" s="307">
        <f>'Besoins structurels'!I49</f>
        <v>0</v>
      </c>
      <c r="H49" s="307">
        <f>'Besoins structurels'!N49</f>
        <v>0</v>
      </c>
      <c r="I49" s="307">
        <f>'Besoins structurels'!V49</f>
        <v>-87279</v>
      </c>
      <c r="J49" s="309">
        <f t="shared" si="1"/>
        <v>-87279</v>
      </c>
      <c r="K49" s="307">
        <f>'Charges des villes'!N49</f>
        <v>489672.2201734634</v>
      </c>
      <c r="L49" s="307">
        <f>'Charges des villes'!U49</f>
        <v>112587.44158614126</v>
      </c>
      <c r="M49" s="302">
        <f t="shared" si="2"/>
        <v>602259.6617596047</v>
      </c>
      <c r="N49" s="308">
        <f>-VLOOKUP(A49,Paramètres!$B$23:$C$322,2,FALSE)*$N$5</f>
        <v>0</v>
      </c>
      <c r="O49" s="322"/>
      <c r="P49" s="602">
        <f t="shared" si="3"/>
        <v>-129257.42170954961</v>
      </c>
      <c r="Q49" s="603"/>
      <c r="R49" s="603"/>
      <c r="S49" s="604"/>
      <c r="T49" s="308">
        <f>PCS!D49</f>
        <v>1083643.9807492485</v>
      </c>
      <c r="U49" s="303">
        <f>Police!U49</f>
        <v>164127.26328062167</v>
      </c>
      <c r="V49" s="336">
        <f t="shared" si="4"/>
        <v>1118513.8223203206</v>
      </c>
      <c r="W49" s="180"/>
      <c r="X49" s="180"/>
      <c r="Y49" s="180"/>
      <c r="Z49" s="15"/>
    </row>
    <row r="50" spans="1:26" x14ac:dyDescent="0.25">
      <c r="A50" s="111">
        <f>Données!A50</f>
        <v>5481</v>
      </c>
      <c r="B50" s="119" t="str">
        <f>Données!B50</f>
        <v>Dizy</v>
      </c>
      <c r="C50" s="307">
        <f>Ressources!H50</f>
        <v>-196005.20857707766</v>
      </c>
      <c r="D50" s="307">
        <f>Ressources!L50</f>
        <v>0</v>
      </c>
      <c r="E50" s="335">
        <f>Ressources!T50</f>
        <v>-48500.787622803524</v>
      </c>
      <c r="F50" s="308">
        <f t="shared" si="0"/>
        <v>-244505.99619988119</v>
      </c>
      <c r="G50" s="307">
        <f>'Besoins structurels'!I50</f>
        <v>-12930</v>
      </c>
      <c r="H50" s="307">
        <f>'Besoins structurels'!N50</f>
        <v>0</v>
      </c>
      <c r="I50" s="307">
        <f>'Besoins structurels'!V50</f>
        <v>-8313</v>
      </c>
      <c r="J50" s="309">
        <f t="shared" si="1"/>
        <v>-21243</v>
      </c>
      <c r="K50" s="307">
        <f>'Charges des villes'!N50</f>
        <v>110971.1917677282</v>
      </c>
      <c r="L50" s="307">
        <f>'Charges des villes'!U50</f>
        <v>24176.458705379839</v>
      </c>
      <c r="M50" s="302">
        <f t="shared" si="2"/>
        <v>135147.65047310805</v>
      </c>
      <c r="N50" s="308">
        <f>-VLOOKUP(A50,Paramètres!$B$23:$C$322,2,FALSE)*$N$5</f>
        <v>0</v>
      </c>
      <c r="O50" s="322"/>
      <c r="P50" s="602">
        <f t="shared" si="3"/>
        <v>-130601.34572677314</v>
      </c>
      <c r="Q50" s="603"/>
      <c r="R50" s="603"/>
      <c r="S50" s="604"/>
      <c r="T50" s="308">
        <f>PCS!D50</f>
        <v>232696.23665684671</v>
      </c>
      <c r="U50" s="303">
        <f>Police!U50</f>
        <v>34649.385845871264</v>
      </c>
      <c r="V50" s="336">
        <f t="shared" si="4"/>
        <v>136744.27677594483</v>
      </c>
      <c r="W50" s="180"/>
      <c r="X50" s="180"/>
      <c r="Y50" s="180"/>
      <c r="Z50" s="15"/>
    </row>
    <row r="51" spans="1:26" x14ac:dyDescent="0.25">
      <c r="A51" s="111">
        <f>Données!A51</f>
        <v>5482</v>
      </c>
      <c r="B51" s="119" t="str">
        <f>Données!B51</f>
        <v>Eclépens</v>
      </c>
      <c r="C51" s="307">
        <f>Ressources!H51</f>
        <v>-702855.77457300411</v>
      </c>
      <c r="D51" s="307">
        <f>Ressources!L51</f>
        <v>0</v>
      </c>
      <c r="E51" s="335">
        <f>Ressources!T51</f>
        <v>-20468.776412593434</v>
      </c>
      <c r="F51" s="308">
        <f t="shared" si="0"/>
        <v>-723324.55098559754</v>
      </c>
      <c r="G51" s="307">
        <f>'Besoins structurels'!I51</f>
        <v>0</v>
      </c>
      <c r="H51" s="307">
        <f>'Besoins structurels'!N51</f>
        <v>0</v>
      </c>
      <c r="I51" s="307">
        <f>'Besoins structurels'!V51</f>
        <v>0</v>
      </c>
      <c r="J51" s="309">
        <f t="shared" si="1"/>
        <v>0</v>
      </c>
      <c r="K51" s="307">
        <f>'Charges des villes'!N51</f>
        <v>509644.14330383437</v>
      </c>
      <c r="L51" s="307">
        <f>'Charges des villes'!U51</f>
        <v>121590.39064379317</v>
      </c>
      <c r="M51" s="302">
        <f t="shared" si="2"/>
        <v>631234.53394762753</v>
      </c>
      <c r="N51" s="308">
        <f>-VLOOKUP(A51,Paramètres!$B$23:$C$322,2,FALSE)*$N$5</f>
        <v>0</v>
      </c>
      <c r="O51" s="322"/>
      <c r="P51" s="602">
        <f t="shared" si="3"/>
        <v>-92090.017037970014</v>
      </c>
      <c r="Q51" s="603"/>
      <c r="R51" s="603"/>
      <c r="S51" s="604"/>
      <c r="T51" s="308">
        <f>PCS!D51</f>
        <v>1170296.5542323419</v>
      </c>
      <c r="U51" s="303">
        <f>Police!U51</f>
        <v>179210.60008069433</v>
      </c>
      <c r="V51" s="336">
        <f t="shared" si="4"/>
        <v>1257417.1372750662</v>
      </c>
      <c r="W51" s="180"/>
      <c r="X51" s="180"/>
      <c r="Y51" s="180"/>
      <c r="Z51" s="15"/>
    </row>
    <row r="52" spans="1:26" x14ac:dyDescent="0.25">
      <c r="A52" s="111">
        <f>Données!A52</f>
        <v>5483</v>
      </c>
      <c r="B52" s="119" t="str">
        <f>Données!B52</f>
        <v>Ferreyres</v>
      </c>
      <c r="C52" s="307">
        <f>Ressources!H52</f>
        <v>-303584.80228172324</v>
      </c>
      <c r="D52" s="307">
        <f>Ressources!L52</f>
        <v>0</v>
      </c>
      <c r="E52" s="335">
        <f>Ressources!T52</f>
        <v>-52129.770137336753</v>
      </c>
      <c r="F52" s="308">
        <f t="shared" si="0"/>
        <v>-355714.57241905999</v>
      </c>
      <c r="G52" s="307">
        <f>'Besoins structurels'!I52</f>
        <v>-8478</v>
      </c>
      <c r="H52" s="307">
        <f>'Besoins structurels'!N52</f>
        <v>0</v>
      </c>
      <c r="I52" s="307">
        <f>'Besoins structurels'!V52</f>
        <v>-14508</v>
      </c>
      <c r="J52" s="309">
        <f t="shared" si="1"/>
        <v>-22986</v>
      </c>
      <c r="K52" s="307">
        <f>'Charges des villes'!N52</f>
        <v>143008.89985129825</v>
      </c>
      <c r="L52" s="307">
        <f>'Charges des villes'!U52</f>
        <v>31156.273143334689</v>
      </c>
      <c r="M52" s="302">
        <f t="shared" si="2"/>
        <v>174165.17299463294</v>
      </c>
      <c r="N52" s="308">
        <f>-VLOOKUP(A52,Paramètres!$B$23:$C$322,2,FALSE)*$N$5</f>
        <v>0</v>
      </c>
      <c r="O52" s="322"/>
      <c r="P52" s="602">
        <f t="shared" si="3"/>
        <v>-204535.39942442704</v>
      </c>
      <c r="Q52" s="603"/>
      <c r="R52" s="603"/>
      <c r="S52" s="604"/>
      <c r="T52" s="308">
        <f>PCS!D52</f>
        <v>299876.32171677315</v>
      </c>
      <c r="U52" s="303">
        <f>Police!U52</f>
        <v>44652.765023131164</v>
      </c>
      <c r="V52" s="336">
        <f t="shared" si="4"/>
        <v>139993.68731547726</v>
      </c>
      <c r="W52" s="180"/>
      <c r="X52" s="180"/>
      <c r="Y52" s="180"/>
      <c r="Z52" s="15"/>
    </row>
    <row r="53" spans="1:26" x14ac:dyDescent="0.25">
      <c r="A53" s="111">
        <f>Données!A53</f>
        <v>5484</v>
      </c>
      <c r="B53" s="119" t="str">
        <f>Données!B53</f>
        <v>Gollion</v>
      </c>
      <c r="C53" s="307">
        <f>Ressources!H53</f>
        <v>-1195072.055495671</v>
      </c>
      <c r="D53" s="307">
        <f>Ressources!L53</f>
        <v>0</v>
      </c>
      <c r="E53" s="335">
        <f>Ressources!T53</f>
        <v>-23360.024106605211</v>
      </c>
      <c r="F53" s="308">
        <f t="shared" si="0"/>
        <v>-1218432.0796022762</v>
      </c>
      <c r="G53" s="307">
        <f>'Besoins structurels'!I53</f>
        <v>0</v>
      </c>
      <c r="H53" s="307">
        <f>'Besoins structurels'!N53</f>
        <v>0</v>
      </c>
      <c r="I53" s="307">
        <f>'Besoins structurels'!V53</f>
        <v>-33523</v>
      </c>
      <c r="J53" s="309">
        <f t="shared" si="1"/>
        <v>-33523</v>
      </c>
      <c r="K53" s="307">
        <f>'Charges des villes'!N53</f>
        <v>484735.34029854019</v>
      </c>
      <c r="L53" s="307">
        <f>'Charges des villes'!U53</f>
        <v>110361.99350447449</v>
      </c>
      <c r="M53" s="302">
        <f t="shared" si="2"/>
        <v>595097.33380301471</v>
      </c>
      <c r="N53" s="308">
        <f>-VLOOKUP(A53,Paramètres!$B$23:$C$322,2,FALSE)*$N$5</f>
        <v>-136100</v>
      </c>
      <c r="O53" s="322"/>
      <c r="P53" s="602">
        <f t="shared" si="3"/>
        <v>-792957.74579926149</v>
      </c>
      <c r="Q53" s="603"/>
      <c r="R53" s="603"/>
      <c r="S53" s="604"/>
      <c r="T53" s="308">
        <f>PCS!D53</f>
        <v>1062224.2434837646</v>
      </c>
      <c r="U53" s="303">
        <f>Police!U53</f>
        <v>160398.79800419923</v>
      </c>
      <c r="V53" s="336">
        <f t="shared" si="4"/>
        <v>429665.29568870232</v>
      </c>
      <c r="W53" s="180"/>
      <c r="X53" s="180"/>
      <c r="Y53" s="180"/>
      <c r="Z53" s="15"/>
    </row>
    <row r="54" spans="1:26" x14ac:dyDescent="0.25">
      <c r="A54" s="111">
        <f>Données!A54</f>
        <v>5485</v>
      </c>
      <c r="B54" s="119" t="str">
        <f>Données!B54</f>
        <v>Grancy</v>
      </c>
      <c r="C54" s="307">
        <f>Ressources!H54</f>
        <v>-184014.67535364343</v>
      </c>
      <c r="D54" s="307">
        <f>Ressources!L54</f>
        <v>0</v>
      </c>
      <c r="E54" s="335">
        <f>Ressources!T54</f>
        <v>-52723.469932789551</v>
      </c>
      <c r="F54" s="308">
        <f t="shared" si="0"/>
        <v>-236738.14528643299</v>
      </c>
      <c r="G54" s="307">
        <f>'Besoins structurels'!I54</f>
        <v>-15926</v>
      </c>
      <c r="H54" s="307">
        <f>'Besoins structurels'!N54</f>
        <v>0</v>
      </c>
      <c r="I54" s="307">
        <f>'Besoins structurels'!V54</f>
        <v>-51257</v>
      </c>
      <c r="J54" s="309">
        <f t="shared" si="1"/>
        <v>-67183</v>
      </c>
      <c r="K54" s="307">
        <f>'Charges des villes'!N54</f>
        <v>251194.20395958563</v>
      </c>
      <c r="L54" s="307">
        <f>'Charges des villes'!U54</f>
        <v>54725.791462805413</v>
      </c>
      <c r="M54" s="302">
        <f t="shared" si="2"/>
        <v>305919.99542239105</v>
      </c>
      <c r="N54" s="308">
        <f>-VLOOKUP(A54,Paramètres!$B$23:$C$322,2,FALSE)*$N$5</f>
        <v>0</v>
      </c>
      <c r="O54" s="322"/>
      <c r="P54" s="602">
        <f t="shared" si="3"/>
        <v>1998.850135958055</v>
      </c>
      <c r="Q54" s="603"/>
      <c r="R54" s="603"/>
      <c r="S54" s="604"/>
      <c r="T54" s="308">
        <f>PCS!D54</f>
        <v>526730.81184666976</v>
      </c>
      <c r="U54" s="303">
        <f>Police!U54</f>
        <v>78432.291810110255</v>
      </c>
      <c r="V54" s="336">
        <f t="shared" si="4"/>
        <v>607161.95379273803</v>
      </c>
      <c r="W54" s="180"/>
      <c r="X54" s="180"/>
      <c r="Y54" s="180"/>
      <c r="Z54" s="15"/>
    </row>
    <row r="55" spans="1:26" x14ac:dyDescent="0.25">
      <c r="A55" s="111">
        <f>Données!A55</f>
        <v>5486</v>
      </c>
      <c r="B55" s="119" t="str">
        <f>Données!B55</f>
        <v>L'Isle</v>
      </c>
      <c r="C55" s="307">
        <f>Ressources!H55</f>
        <v>-1077694.5622683442</v>
      </c>
      <c r="D55" s="307">
        <f>Ressources!L55</f>
        <v>0</v>
      </c>
      <c r="E55" s="335">
        <f>Ressources!T55</f>
        <v>-123126.69117498197</v>
      </c>
      <c r="F55" s="308">
        <f t="shared" si="0"/>
        <v>-1200821.2534433261</v>
      </c>
      <c r="G55" s="307">
        <f>'Besoins structurels'!I55</f>
        <v>-82463</v>
      </c>
      <c r="H55" s="307">
        <f>'Besoins structurels'!N55</f>
        <v>-7656</v>
      </c>
      <c r="I55" s="307">
        <f>'Besoins structurels'!V55</f>
        <v>0</v>
      </c>
      <c r="J55" s="309">
        <f t="shared" si="1"/>
        <v>-90119</v>
      </c>
      <c r="K55" s="307">
        <f>'Charges des villes'!N55</f>
        <v>488101.39475871506</v>
      </c>
      <c r="L55" s="307">
        <f>'Charges des villes'!U55</f>
        <v>111879.34446924728</v>
      </c>
      <c r="M55" s="302">
        <f t="shared" si="2"/>
        <v>599980.73922796233</v>
      </c>
      <c r="N55" s="308">
        <f>-VLOOKUP(A55,Paramètres!$B$23:$C$322,2,FALSE)*$N$5</f>
        <v>-184600</v>
      </c>
      <c r="O55" s="322"/>
      <c r="P55" s="602">
        <f t="shared" si="3"/>
        <v>-875559.51421536377</v>
      </c>
      <c r="Q55" s="603"/>
      <c r="R55" s="603"/>
      <c r="S55" s="604"/>
      <c r="T55" s="308">
        <f>PCS!D55</f>
        <v>1076828.6098011399</v>
      </c>
      <c r="U55" s="303">
        <f>Police!U55</f>
        <v>162940.93341994181</v>
      </c>
      <c r="V55" s="336">
        <f t="shared" si="4"/>
        <v>364210.02900571795</v>
      </c>
      <c r="W55" s="180"/>
      <c r="X55" s="180"/>
      <c r="Y55" s="180"/>
      <c r="Z55" s="15"/>
    </row>
    <row r="56" spans="1:26" x14ac:dyDescent="0.25">
      <c r="A56" s="111">
        <f>Données!A56</f>
        <v>5487</v>
      </c>
      <c r="B56" s="119" t="str">
        <f>Données!B56</f>
        <v>Lussery-Villars</v>
      </c>
      <c r="C56" s="307">
        <f>Ressources!H56</f>
        <v>-421298.44165421446</v>
      </c>
      <c r="D56" s="307">
        <f>Ressources!L56</f>
        <v>0</v>
      </c>
      <c r="E56" s="335">
        <f>Ressources!T56</f>
        <v>-19870.846004580977</v>
      </c>
      <c r="F56" s="308">
        <f t="shared" si="0"/>
        <v>-441169.28765879542</v>
      </c>
      <c r="G56" s="307">
        <f>'Besoins structurels'!I56</f>
        <v>-897</v>
      </c>
      <c r="H56" s="307">
        <f>'Besoins structurels'!N56</f>
        <v>0</v>
      </c>
      <c r="I56" s="307">
        <f>'Besoins structurels'!V56</f>
        <v>0</v>
      </c>
      <c r="J56" s="309">
        <f t="shared" si="1"/>
        <v>-897</v>
      </c>
      <c r="K56" s="307">
        <f>'Charges des villes'!N56</f>
        <v>217763.55204629511</v>
      </c>
      <c r="L56" s="307">
        <f>'Charges des villes'!U56</f>
        <v>47442.506831896004</v>
      </c>
      <c r="M56" s="302">
        <f t="shared" si="2"/>
        <v>265206.05887819111</v>
      </c>
      <c r="N56" s="308">
        <f>-VLOOKUP(A56,Paramètres!$B$23:$C$322,2,FALSE)*$N$5</f>
        <v>0</v>
      </c>
      <c r="O56" s="322"/>
      <c r="P56" s="602">
        <f t="shared" si="3"/>
        <v>-176860.22878060432</v>
      </c>
      <c r="Q56" s="603"/>
      <c r="R56" s="603"/>
      <c r="S56" s="604"/>
      <c r="T56" s="308">
        <f>PCS!D56</f>
        <v>456629.85352326819</v>
      </c>
      <c r="U56" s="303">
        <f>Police!U56</f>
        <v>67993.983103404258</v>
      </c>
      <c r="V56" s="336">
        <f t="shared" si="4"/>
        <v>347763.6078460681</v>
      </c>
      <c r="W56" s="180"/>
      <c r="X56" s="180"/>
      <c r="Y56" s="180"/>
      <c r="Z56" s="15"/>
    </row>
    <row r="57" spans="1:26" x14ac:dyDescent="0.25">
      <c r="A57" s="111">
        <f>Données!A57</f>
        <v>5488</v>
      </c>
      <c r="B57" s="119" t="str">
        <f>Données!B57</f>
        <v>Mauraz</v>
      </c>
      <c r="C57" s="307">
        <f>Ressources!H57</f>
        <v>-91354.665041155939</v>
      </c>
      <c r="D57" s="307">
        <f>Ressources!L57</f>
        <v>0</v>
      </c>
      <c r="E57" s="335">
        <f>Ressources!T57</f>
        <v>-18993.984870658831</v>
      </c>
      <c r="F57" s="308">
        <f t="shared" si="0"/>
        <v>-110348.64991181478</v>
      </c>
      <c r="G57" s="307">
        <f>'Besoins structurels'!I57</f>
        <v>0</v>
      </c>
      <c r="H57" s="307">
        <f>'Besoins structurels'!N57</f>
        <v>0</v>
      </c>
      <c r="I57" s="307">
        <f>'Besoins structurels'!V57</f>
        <v>0</v>
      </c>
      <c r="J57" s="309">
        <f t="shared" si="1"/>
        <v>0</v>
      </c>
      <c r="K57" s="307">
        <f>'Charges des villes'!N57</f>
        <v>34359.28113310413</v>
      </c>
      <c r="L57" s="307">
        <f>'Charges des villes'!U57</f>
        <v>7485.5980928791132</v>
      </c>
      <c r="M57" s="302">
        <f t="shared" si="2"/>
        <v>41844.879225983241</v>
      </c>
      <c r="N57" s="308">
        <f>-VLOOKUP(A57,Paramètres!$B$23:$C$322,2,FALSE)*$N$5</f>
        <v>0</v>
      </c>
      <c r="O57" s="322"/>
      <c r="P57" s="602">
        <f t="shared" si="3"/>
        <v>-68503.770685831536</v>
      </c>
      <c r="Q57" s="603"/>
      <c r="R57" s="603"/>
      <c r="S57" s="604"/>
      <c r="T57" s="308">
        <f>PCS!D57</f>
        <v>72048.207165718224</v>
      </c>
      <c r="U57" s="303">
        <f>Police!U57</f>
        <v>10728.261726336706</v>
      </c>
      <c r="V57" s="336">
        <f t="shared" si="4"/>
        <v>14272.698206223395</v>
      </c>
      <c r="W57" s="180"/>
      <c r="X57" s="180"/>
      <c r="Y57" s="180"/>
      <c r="Z57" s="15"/>
    </row>
    <row r="58" spans="1:26" x14ac:dyDescent="0.25">
      <c r="A58" s="111">
        <f>Données!A58</f>
        <v>5489</v>
      </c>
      <c r="B58" s="119" t="str">
        <f>Données!B58</f>
        <v>Mex</v>
      </c>
      <c r="C58" s="307">
        <f>Ressources!H58</f>
        <v>2231284.2494952488</v>
      </c>
      <c r="D58" s="307">
        <f>Ressources!L58</f>
        <v>0</v>
      </c>
      <c r="E58" s="335">
        <f>Ressources!T58</f>
        <v>-68613.985174398811</v>
      </c>
      <c r="F58" s="308">
        <f t="shared" si="0"/>
        <v>2162670.2643208499</v>
      </c>
      <c r="G58" s="307">
        <f>'Besoins structurels'!I58</f>
        <v>0</v>
      </c>
      <c r="H58" s="307">
        <f>'Besoins structurels'!N58</f>
        <v>0</v>
      </c>
      <c r="I58" s="307">
        <f>'Besoins structurels'!V58</f>
        <v>0</v>
      </c>
      <c r="J58" s="309">
        <f t="shared" si="1"/>
        <v>0</v>
      </c>
      <c r="K58" s="307">
        <f>'Charges des villes'!N58</f>
        <v>384452.4970028408</v>
      </c>
      <c r="L58" s="307">
        <f>'Charges des villes'!U58</f>
        <v>83757.773255458189</v>
      </c>
      <c r="M58" s="302">
        <f t="shared" si="2"/>
        <v>468210.27025829896</v>
      </c>
      <c r="N58" s="308">
        <f>-VLOOKUP(A58,Paramètres!$B$23:$C$322,2,FALSE)*$N$5</f>
        <v>0</v>
      </c>
      <c r="O58" s="322"/>
      <c r="P58" s="602">
        <f t="shared" si="3"/>
        <v>2630880.534579149</v>
      </c>
      <c r="Q58" s="603"/>
      <c r="R58" s="603"/>
      <c r="S58" s="604"/>
      <c r="T58" s="308">
        <f>PCS!D58</f>
        <v>806161.02071911748</v>
      </c>
      <c r="U58" s="303">
        <f>Police!U58</f>
        <v>120040.55012711884</v>
      </c>
      <c r="V58" s="336">
        <f t="shared" si="4"/>
        <v>3557082.1054253853</v>
      </c>
      <c r="W58" s="180"/>
      <c r="X58" s="180"/>
      <c r="Y58" s="180"/>
      <c r="Z58" s="15"/>
    </row>
    <row r="59" spans="1:26" x14ac:dyDescent="0.25">
      <c r="A59" s="111">
        <f>Données!A59</f>
        <v>5490</v>
      </c>
      <c r="B59" s="119" t="str">
        <f>Données!B59</f>
        <v>Moiry</v>
      </c>
      <c r="C59" s="307">
        <f>Ressources!H59</f>
        <v>-373072.23990869941</v>
      </c>
      <c r="D59" s="307">
        <f>Ressources!L59</f>
        <v>0</v>
      </c>
      <c r="E59" s="335">
        <f>Ressources!T59</f>
        <v>-64257.589011410208</v>
      </c>
      <c r="F59" s="308">
        <f t="shared" si="0"/>
        <v>-437329.8289201096</v>
      </c>
      <c r="G59" s="307">
        <f>'Besoins structurels'!I59</f>
        <v>-47070</v>
      </c>
      <c r="H59" s="307">
        <f>'Besoins structurels'!N59</f>
        <v>0</v>
      </c>
      <c r="I59" s="307">
        <f>'Besoins structurels'!V59</f>
        <v>-15235</v>
      </c>
      <c r="J59" s="309">
        <f t="shared" si="1"/>
        <v>-62305</v>
      </c>
      <c r="K59" s="307">
        <f>'Charges des villes'!N59</f>
        <v>136972.80992250971</v>
      </c>
      <c r="L59" s="307">
        <f>'Charges des villes'!U59</f>
        <v>29841.235640531602</v>
      </c>
      <c r="M59" s="302">
        <f t="shared" si="2"/>
        <v>166814.04556304132</v>
      </c>
      <c r="N59" s="308">
        <f>-VLOOKUP(A59,Paramètres!$B$23:$C$322,2,FALSE)*$N$5</f>
        <v>0</v>
      </c>
      <c r="O59" s="322"/>
      <c r="P59" s="602">
        <f t="shared" si="3"/>
        <v>-332820.78335706831</v>
      </c>
      <c r="Q59" s="603"/>
      <c r="R59" s="603"/>
      <c r="S59" s="604"/>
      <c r="T59" s="308">
        <f>PCS!D59</f>
        <v>287219.20424171456</v>
      </c>
      <c r="U59" s="303">
        <f>Police!U59</f>
        <v>42768.070395531468</v>
      </c>
      <c r="V59" s="336">
        <f t="shared" si="4"/>
        <v>-2833.50871982229</v>
      </c>
      <c r="W59" s="180"/>
      <c r="X59" s="180"/>
      <c r="Y59" s="180"/>
      <c r="Z59" s="15"/>
    </row>
    <row r="60" spans="1:26" x14ac:dyDescent="0.25">
      <c r="A60" s="111">
        <f>Données!A60</f>
        <v>5491</v>
      </c>
      <c r="B60" s="119" t="str">
        <f>Données!B60</f>
        <v>Mont-la-Ville</v>
      </c>
      <c r="C60" s="307">
        <f>Ressources!H60</f>
        <v>-804347.98293834238</v>
      </c>
      <c r="D60" s="307">
        <f>Ressources!L60</f>
        <v>-26565</v>
      </c>
      <c r="E60" s="335">
        <f>Ressources!T60</f>
        <v>-73703.587497460147</v>
      </c>
      <c r="F60" s="308">
        <f t="shared" si="0"/>
        <v>-904616.57043580257</v>
      </c>
      <c r="G60" s="307">
        <f>'Besoins structurels'!I60</f>
        <v>-169820</v>
      </c>
      <c r="H60" s="307">
        <f>'Besoins structurels'!N60</f>
        <v>-44040</v>
      </c>
      <c r="I60" s="307">
        <f>'Besoins structurels'!V60</f>
        <v>-6641</v>
      </c>
      <c r="J60" s="309">
        <f t="shared" si="1"/>
        <v>-220501</v>
      </c>
      <c r="K60" s="307">
        <f>'Charges des villes'!N60</f>
        <v>234014.56339303352</v>
      </c>
      <c r="L60" s="307">
        <f>'Charges des villes'!U60</f>
        <v>50982.992416365851</v>
      </c>
      <c r="M60" s="302">
        <f t="shared" si="2"/>
        <v>284997.55580939935</v>
      </c>
      <c r="N60" s="308">
        <f>-VLOOKUP(A60,Paramètres!$B$23:$C$322,2,FALSE)*$N$5</f>
        <v>0</v>
      </c>
      <c r="O60" s="322"/>
      <c r="P60" s="602">
        <f t="shared" si="3"/>
        <v>-840120.01462640311</v>
      </c>
      <c r="Q60" s="603"/>
      <c r="R60" s="603"/>
      <c r="S60" s="604"/>
      <c r="T60" s="308">
        <f>PCS!D60</f>
        <v>490706.70826381061</v>
      </c>
      <c r="U60" s="303">
        <f>Police!U60</f>
        <v>73068.160946941905</v>
      </c>
      <c r="V60" s="336">
        <f t="shared" si="4"/>
        <v>-276345.14541565056</v>
      </c>
      <c r="W60" s="180"/>
      <c r="X60" s="180"/>
      <c r="Y60" s="180"/>
      <c r="Z60" s="15"/>
    </row>
    <row r="61" spans="1:26" x14ac:dyDescent="0.25">
      <c r="A61" s="111">
        <f>Données!A61</f>
        <v>5492</v>
      </c>
      <c r="B61" s="119" t="str">
        <f>Données!B61</f>
        <v>Montricher</v>
      </c>
      <c r="C61" s="307">
        <f>Ressources!H61</f>
        <v>7357942.6762725171</v>
      </c>
      <c r="D61" s="307">
        <f>Ressources!L61</f>
        <v>0</v>
      </c>
      <c r="E61" s="335">
        <f>Ressources!T61</f>
        <v>-95627.341250188008</v>
      </c>
      <c r="F61" s="308">
        <f t="shared" si="0"/>
        <v>7262315.3350223294</v>
      </c>
      <c r="G61" s="307">
        <f>'Besoins structurels'!I61</f>
        <v>-197787</v>
      </c>
      <c r="H61" s="307">
        <f>'Besoins structurels'!N61</f>
        <v>-117286</v>
      </c>
      <c r="I61" s="307">
        <f>'Besoins structurels'!V61</f>
        <v>0</v>
      </c>
      <c r="J61" s="309">
        <f t="shared" si="1"/>
        <v>-315073</v>
      </c>
      <c r="K61" s="307">
        <f>'Charges des villes'!N61</f>
        <v>439705.93558175146</v>
      </c>
      <c r="L61" s="307">
        <f>'Charges des villes'!U61</f>
        <v>95795.424242655688</v>
      </c>
      <c r="M61" s="302">
        <f t="shared" si="2"/>
        <v>535501.35982440715</v>
      </c>
      <c r="N61" s="308">
        <f>-VLOOKUP(A61,Paramètres!$B$23:$C$322,2,FALSE)*$N$5</f>
        <v>0</v>
      </c>
      <c r="O61" s="322"/>
      <c r="P61" s="602">
        <f t="shared" si="3"/>
        <v>7482743.6948467363</v>
      </c>
      <c r="Q61" s="603"/>
      <c r="R61" s="603"/>
      <c r="S61" s="604"/>
      <c r="T61" s="308">
        <f>PCS!D61</f>
        <v>922022.32683696155</v>
      </c>
      <c r="U61" s="303">
        <f>Police!U61</f>
        <v>137292.75479514679</v>
      </c>
      <c r="V61" s="336">
        <f t="shared" si="4"/>
        <v>8542058.7764788456</v>
      </c>
      <c r="W61" s="180"/>
      <c r="X61" s="180"/>
      <c r="Y61" s="180"/>
      <c r="Z61" s="15"/>
    </row>
    <row r="62" spans="1:26" x14ac:dyDescent="0.25">
      <c r="A62" s="111">
        <f>Données!A62</f>
        <v>5493</v>
      </c>
      <c r="B62" s="119" t="str">
        <f>Données!B62</f>
        <v>Orny</v>
      </c>
      <c r="C62" s="307">
        <f>Ressources!H62</f>
        <v>-554149.98226675543</v>
      </c>
      <c r="D62" s="307">
        <f>Ressources!L62</f>
        <v>0</v>
      </c>
      <c r="E62" s="335">
        <f>Ressources!T62</f>
        <v>-37687.642393187663</v>
      </c>
      <c r="F62" s="308">
        <f t="shared" si="0"/>
        <v>-591837.62465994305</v>
      </c>
      <c r="G62" s="307">
        <f>'Besoins structurels'!I62</f>
        <v>-15311</v>
      </c>
      <c r="H62" s="307">
        <f>'Besoins structurels'!N62</f>
        <v>0</v>
      </c>
      <c r="I62" s="307">
        <f>'Besoins structurels'!V62</f>
        <v>0</v>
      </c>
      <c r="J62" s="309">
        <f t="shared" si="1"/>
        <v>-15311</v>
      </c>
      <c r="K62" s="307">
        <f>'Charges des villes'!N62</f>
        <v>243765.1702010766</v>
      </c>
      <c r="L62" s="307">
        <f>'Charges des villes'!U62</f>
        <v>53107.283767047767</v>
      </c>
      <c r="M62" s="302">
        <f t="shared" si="2"/>
        <v>296872.45396812435</v>
      </c>
      <c r="N62" s="308">
        <f>-VLOOKUP(A62,Paramètres!$B$23:$C$322,2,FALSE)*$N$5</f>
        <v>0</v>
      </c>
      <c r="O62" s="322"/>
      <c r="P62" s="602">
        <f t="shared" si="3"/>
        <v>-310276.1706918187</v>
      </c>
      <c r="Q62" s="603"/>
      <c r="R62" s="603"/>
      <c r="S62" s="604"/>
      <c r="T62" s="308">
        <f>PCS!D62</f>
        <v>511152.82110813604</v>
      </c>
      <c r="U62" s="303">
        <f>Police!U62</f>
        <v>76112.667653064476</v>
      </c>
      <c r="V62" s="336">
        <f t="shared" si="4"/>
        <v>276989.31806938181</v>
      </c>
      <c r="W62" s="180"/>
      <c r="X62" s="180"/>
      <c r="Y62" s="180"/>
      <c r="Z62" s="15"/>
    </row>
    <row r="63" spans="1:26" x14ac:dyDescent="0.25">
      <c r="A63" s="111">
        <f>Données!A63</f>
        <v>5495</v>
      </c>
      <c r="B63" s="119" t="str">
        <f>Données!B63</f>
        <v>Penthalaz</v>
      </c>
      <c r="C63" s="307">
        <f>Ressources!H63</f>
        <v>-3761895.1919893138</v>
      </c>
      <c r="D63" s="307">
        <f>Ressources!L63</f>
        <v>0</v>
      </c>
      <c r="E63" s="335">
        <f>Ressources!T63</f>
        <v>-397463.79744915676</v>
      </c>
      <c r="F63" s="308">
        <f t="shared" si="0"/>
        <v>-4159358.9894384705</v>
      </c>
      <c r="G63" s="307">
        <f>'Besoins structurels'!I63</f>
        <v>0</v>
      </c>
      <c r="H63" s="307">
        <f>'Besoins structurels'!N63</f>
        <v>0</v>
      </c>
      <c r="I63" s="307">
        <f>'Besoins structurels'!V63</f>
        <v>-30743</v>
      </c>
      <c r="J63" s="309">
        <f t="shared" si="1"/>
        <v>-30743</v>
      </c>
      <c r="K63" s="307">
        <f>'Charges des villes'!N63</f>
        <v>899426.51226498932</v>
      </c>
      <c r="L63" s="307">
        <f>'Charges des villes'!U63</f>
        <v>323600.3824205444</v>
      </c>
      <c r="M63" s="302">
        <f t="shared" si="2"/>
        <v>1223026.8946855338</v>
      </c>
      <c r="N63" s="308">
        <f>-VLOOKUP(A63,Paramètres!$B$23:$C$322,2,FALSE)*$N$5</f>
        <v>-179200</v>
      </c>
      <c r="O63" s="322"/>
      <c r="P63" s="602">
        <f t="shared" si="3"/>
        <v>-3146275.0947529366</v>
      </c>
      <c r="Q63" s="603"/>
      <c r="R63" s="603"/>
      <c r="S63" s="604"/>
      <c r="T63" s="308">
        <f>PCS!D63</f>
        <v>3114624.5232855757</v>
      </c>
      <c r="U63" s="303">
        <f>Police!U63</f>
        <v>520091.23062768707</v>
      </c>
      <c r="V63" s="336">
        <f t="shared" si="4"/>
        <v>488440.65916032612</v>
      </c>
      <c r="W63" s="180"/>
      <c r="X63" s="180"/>
      <c r="Y63" s="180"/>
      <c r="Z63" s="15"/>
    </row>
    <row r="64" spans="1:26" x14ac:dyDescent="0.25">
      <c r="A64" s="111">
        <f>Données!A64</f>
        <v>5496</v>
      </c>
      <c r="B64" s="119" t="str">
        <f>Données!B64</f>
        <v>Penthaz</v>
      </c>
      <c r="C64" s="307">
        <f>Ressources!H64</f>
        <v>-1854661.8645045646</v>
      </c>
      <c r="D64" s="307">
        <f>Ressources!L64</f>
        <v>0</v>
      </c>
      <c r="E64" s="335">
        <f>Ressources!T64</f>
        <v>-309125.16003997793</v>
      </c>
      <c r="F64" s="308">
        <f t="shared" si="0"/>
        <v>-2163787.0245445427</v>
      </c>
      <c r="G64" s="307">
        <f>'Besoins structurels'!I64</f>
        <v>0</v>
      </c>
      <c r="H64" s="307">
        <f>'Besoins structurels'!N64</f>
        <v>0</v>
      </c>
      <c r="I64" s="307">
        <f>'Besoins structurels'!V64</f>
        <v>-171520</v>
      </c>
      <c r="J64" s="309">
        <f t="shared" si="1"/>
        <v>-171520</v>
      </c>
      <c r="K64" s="307">
        <f>'Charges des villes'!N64</f>
        <v>668521.9138240891</v>
      </c>
      <c r="L64" s="307">
        <f>'Charges des villes'!U64</f>
        <v>193209.35618106902</v>
      </c>
      <c r="M64" s="302">
        <f t="shared" si="2"/>
        <v>861731.27000515815</v>
      </c>
      <c r="N64" s="308">
        <f>-VLOOKUP(A64,Paramètres!$B$23:$C$322,2,FALSE)*$N$5</f>
        <v>0</v>
      </c>
      <c r="O64" s="322"/>
      <c r="P64" s="602">
        <f t="shared" si="3"/>
        <v>-1473575.7545393845</v>
      </c>
      <c r="Q64" s="603"/>
      <c r="R64" s="603"/>
      <c r="S64" s="604"/>
      <c r="T64" s="308">
        <f>PCS!D64</f>
        <v>1859622.6444124568</v>
      </c>
      <c r="U64" s="303">
        <f>Police!U64</f>
        <v>299199.39170374407</v>
      </c>
      <c r="V64" s="336">
        <f t="shared" si="4"/>
        <v>685246.28157681634</v>
      </c>
      <c r="W64" s="180"/>
      <c r="X64" s="180"/>
      <c r="Y64" s="180"/>
      <c r="Z64" s="15"/>
    </row>
    <row r="65" spans="1:26" x14ac:dyDescent="0.25">
      <c r="A65" s="111">
        <f>Données!A65</f>
        <v>5497</v>
      </c>
      <c r="B65" s="119" t="str">
        <f>Données!B65</f>
        <v>Pompaples</v>
      </c>
      <c r="C65" s="307">
        <f>Ressources!H65</f>
        <v>-1182208.7247454647</v>
      </c>
      <c r="D65" s="307">
        <f>Ressources!L65</f>
        <v>0</v>
      </c>
      <c r="E65" s="335">
        <f>Ressources!T65</f>
        <v>-109482.26711343444</v>
      </c>
      <c r="F65" s="308">
        <f t="shared" si="0"/>
        <v>-1291690.9918588991</v>
      </c>
      <c r="G65" s="307">
        <f>'Besoins structurels'!I65</f>
        <v>0</v>
      </c>
      <c r="H65" s="307">
        <f>'Besoins structurels'!N65</f>
        <v>0</v>
      </c>
      <c r="I65" s="307">
        <f>'Besoins structurels'!V65</f>
        <v>0</v>
      </c>
      <c r="J65" s="309">
        <f t="shared" si="1"/>
        <v>0</v>
      </c>
      <c r="K65" s="307">
        <f>'Charges des villes'!N65</f>
        <v>425776.49728454713</v>
      </c>
      <c r="L65" s="307">
        <f>'Charges des villes'!U65</f>
        <v>92760.722313110091</v>
      </c>
      <c r="M65" s="302">
        <f t="shared" si="2"/>
        <v>518537.21959765721</v>
      </c>
      <c r="N65" s="308">
        <f>-VLOOKUP(A65,Paramètres!$B$23:$C$322,2,FALSE)*$N$5</f>
        <v>0</v>
      </c>
      <c r="O65" s="322"/>
      <c r="P65" s="602">
        <f t="shared" si="3"/>
        <v>-773153.77226124192</v>
      </c>
      <c r="Q65" s="603"/>
      <c r="R65" s="603"/>
      <c r="S65" s="604"/>
      <c r="T65" s="308">
        <f>PCS!D65</f>
        <v>892813.59420221101</v>
      </c>
      <c r="U65" s="303">
        <f>Police!U65</f>
        <v>132943.45950068597</v>
      </c>
      <c r="V65" s="336">
        <f t="shared" si="4"/>
        <v>252603.28144165507</v>
      </c>
      <c r="W65" s="180"/>
      <c r="X65" s="180"/>
      <c r="Y65" s="180"/>
      <c r="Z65" s="15"/>
    </row>
    <row r="66" spans="1:26" x14ac:dyDescent="0.25">
      <c r="A66" s="111">
        <f>Données!A66</f>
        <v>5498</v>
      </c>
      <c r="B66" s="119" t="str">
        <f>Données!B66</f>
        <v>La Sarraz</v>
      </c>
      <c r="C66" s="307">
        <f>Ressources!H66</f>
        <v>-3080392.3998661279</v>
      </c>
      <c r="D66" s="307">
        <f>Ressources!L66</f>
        <v>0</v>
      </c>
      <c r="E66" s="335">
        <f>Ressources!T66</f>
        <v>-470279.4144263363</v>
      </c>
      <c r="F66" s="308">
        <f t="shared" si="0"/>
        <v>-3550671.8142924644</v>
      </c>
      <c r="G66" s="307">
        <f>'Besoins structurels'!I66</f>
        <v>0</v>
      </c>
      <c r="H66" s="307">
        <f>'Besoins structurels'!N66</f>
        <v>0</v>
      </c>
      <c r="I66" s="307">
        <f>'Besoins structurels'!V66</f>
        <v>0</v>
      </c>
      <c r="J66" s="309">
        <f t="shared" si="1"/>
        <v>0</v>
      </c>
      <c r="K66" s="307">
        <f>'Charges des villes'!N66</f>
        <v>825380.05166823906</v>
      </c>
      <c r="L66" s="307">
        <f>'Charges des villes'!U66</f>
        <v>263917.91113948118</v>
      </c>
      <c r="M66" s="302">
        <f t="shared" si="2"/>
        <v>1089297.9628077203</v>
      </c>
      <c r="N66" s="308">
        <f>-VLOOKUP(A66,Paramètres!$B$23:$C$322,2,FALSE)*$N$5</f>
        <v>-39500</v>
      </c>
      <c r="O66" s="322"/>
      <c r="P66" s="602">
        <f t="shared" si="3"/>
        <v>-2500873.8514847439</v>
      </c>
      <c r="Q66" s="603"/>
      <c r="R66" s="603"/>
      <c r="S66" s="604"/>
      <c r="T66" s="308">
        <f>PCS!D66</f>
        <v>2540186.1148021468</v>
      </c>
      <c r="U66" s="303">
        <f>Police!U66</f>
        <v>417662.90207734826</v>
      </c>
      <c r="V66" s="336">
        <f t="shared" si="4"/>
        <v>456975.16539475118</v>
      </c>
      <c r="W66" s="180"/>
      <c r="X66" s="180"/>
      <c r="Y66" s="180"/>
      <c r="Z66" s="15"/>
    </row>
    <row r="67" spans="1:26" x14ac:dyDescent="0.25">
      <c r="A67" s="111">
        <f>Données!A67</f>
        <v>5499</v>
      </c>
      <c r="B67" s="119" t="str">
        <f>Données!B67</f>
        <v>Senarclens</v>
      </c>
      <c r="C67" s="307">
        <f>Ressources!H67</f>
        <v>-202021.26307914502</v>
      </c>
      <c r="D67" s="307">
        <f>Ressources!L67</f>
        <v>0</v>
      </c>
      <c r="E67" s="335">
        <f>Ressources!T67</f>
        <v>114505.92703131477</v>
      </c>
      <c r="F67" s="308">
        <f t="shared" si="0"/>
        <v>-87515.336047830249</v>
      </c>
      <c r="G67" s="307">
        <f>'Besoins structurels'!I67</f>
        <v>-521</v>
      </c>
      <c r="H67" s="307">
        <f>'Besoins structurels'!N67</f>
        <v>0</v>
      </c>
      <c r="I67" s="307">
        <f>'Besoins structurels'!V67</f>
        <v>-35063</v>
      </c>
      <c r="J67" s="309">
        <f t="shared" si="1"/>
        <v>-35584</v>
      </c>
      <c r="K67" s="307">
        <f>'Charges des villes'!N67</f>
        <v>234478.87800294036</v>
      </c>
      <c r="L67" s="307">
        <f>'Charges des villes'!U67</f>
        <v>51084.149147350705</v>
      </c>
      <c r="M67" s="302">
        <f t="shared" si="2"/>
        <v>285563.02715029108</v>
      </c>
      <c r="N67" s="308">
        <f>-VLOOKUP(A67,Paramètres!$B$23:$C$322,2,FALSE)*$N$5</f>
        <v>0</v>
      </c>
      <c r="O67" s="322"/>
      <c r="P67" s="602">
        <f t="shared" si="3"/>
        <v>162463.69110246084</v>
      </c>
      <c r="Q67" s="603"/>
      <c r="R67" s="603"/>
      <c r="S67" s="604"/>
      <c r="T67" s="308">
        <f>PCS!D67</f>
        <v>491680.33268496895</v>
      </c>
      <c r="U67" s="303">
        <f>Police!U67</f>
        <v>73213.137456757264</v>
      </c>
      <c r="V67" s="336">
        <f t="shared" si="4"/>
        <v>727357.16124418704</v>
      </c>
      <c r="W67" s="180"/>
      <c r="X67" s="180"/>
      <c r="Y67" s="180"/>
      <c r="Z67" s="15"/>
    </row>
    <row r="68" spans="1:26" x14ac:dyDescent="0.25">
      <c r="A68" s="111">
        <f>Données!A68</f>
        <v>5501</v>
      </c>
      <c r="B68" s="119" t="str">
        <f>Données!B68</f>
        <v>Sullens</v>
      </c>
      <c r="C68" s="307">
        <f>Ressources!H68</f>
        <v>-443817.37414361606</v>
      </c>
      <c r="D68" s="307">
        <f>Ressources!L68</f>
        <v>0</v>
      </c>
      <c r="E68" s="335">
        <f>Ressources!T68</f>
        <v>-94205.604110602959</v>
      </c>
      <c r="F68" s="308">
        <f t="shared" si="0"/>
        <v>-538022.97825421905</v>
      </c>
      <c r="G68" s="307">
        <f>'Besoins structurels'!I68</f>
        <v>0</v>
      </c>
      <c r="H68" s="307">
        <f>'Besoins structurels'!N68</f>
        <v>0</v>
      </c>
      <c r="I68" s="307">
        <f>'Besoins structurels'!V68</f>
        <v>-16405</v>
      </c>
      <c r="J68" s="309">
        <f t="shared" si="1"/>
        <v>-16405</v>
      </c>
      <c r="K68" s="307">
        <f>'Charges des villes'!N68</f>
        <v>527596.43375810049</v>
      </c>
      <c r="L68" s="307">
        <f>'Charges des villes'!U68</f>
        <v>129682.92912258139</v>
      </c>
      <c r="M68" s="302">
        <f t="shared" si="2"/>
        <v>657279.36288068187</v>
      </c>
      <c r="N68" s="308">
        <f>-VLOOKUP(A68,Paramètres!$B$23:$C$322,2,FALSE)*$N$5</f>
        <v>0</v>
      </c>
      <c r="O68" s="322"/>
      <c r="P68" s="602">
        <f t="shared" si="3"/>
        <v>102851.38462646282</v>
      </c>
      <c r="Q68" s="603"/>
      <c r="R68" s="603"/>
      <c r="S68" s="604"/>
      <c r="T68" s="308">
        <f>PCS!D68</f>
        <v>1248186.5079250103</v>
      </c>
      <c r="U68" s="303">
        <f>Police!U68</f>
        <v>192768.6556313214</v>
      </c>
      <c r="V68" s="336">
        <f t="shared" si="4"/>
        <v>1543806.5481827946</v>
      </c>
      <c r="W68" s="180"/>
      <c r="X68" s="180"/>
      <c r="Y68" s="180"/>
      <c r="Z68" s="15"/>
    </row>
    <row r="69" spans="1:26" x14ac:dyDescent="0.25">
      <c r="A69" s="111">
        <f>Données!A69</f>
        <v>5503</v>
      </c>
      <c r="B69" s="119" t="str">
        <f>Données!B69</f>
        <v>Vufflens-la-Ville</v>
      </c>
      <c r="C69" s="307">
        <f>Ressources!H69</f>
        <v>2511045.246992399</v>
      </c>
      <c r="D69" s="307">
        <f>Ressources!L69</f>
        <v>0</v>
      </c>
      <c r="E69" s="335">
        <f>Ressources!T69</f>
        <v>-166250.33031573333</v>
      </c>
      <c r="F69" s="308">
        <f t="shared" si="0"/>
        <v>2344794.9166766657</v>
      </c>
      <c r="G69" s="307">
        <f>'Besoins structurels'!I69</f>
        <v>0</v>
      </c>
      <c r="H69" s="307">
        <f>'Besoins structurels'!N69</f>
        <v>0</v>
      </c>
      <c r="I69" s="307">
        <f>'Besoins structurels'!V69</f>
        <v>0</v>
      </c>
      <c r="J69" s="309">
        <f t="shared" si="1"/>
        <v>0</v>
      </c>
      <c r="K69" s="307">
        <f>'Charges des villes'!N69</f>
        <v>537694.5971386251</v>
      </c>
      <c r="L69" s="307">
        <f>'Charges des villes'!U69</f>
        <v>134234.98201689977</v>
      </c>
      <c r="M69" s="302">
        <f t="shared" si="2"/>
        <v>671929.57915552484</v>
      </c>
      <c r="N69" s="308">
        <f>-VLOOKUP(A69,Paramètres!$B$23:$C$322,2,FALSE)*$N$5</f>
        <v>0</v>
      </c>
      <c r="O69" s="322"/>
      <c r="P69" s="602">
        <f t="shared" si="3"/>
        <v>3016724.4958321904</v>
      </c>
      <c r="Q69" s="603"/>
      <c r="R69" s="603"/>
      <c r="S69" s="604"/>
      <c r="T69" s="308">
        <f>PCS!D69</f>
        <v>1291999.6068771363</v>
      </c>
      <c r="U69" s="303">
        <f>Police!U69</f>
        <v>200395.06187854914</v>
      </c>
      <c r="V69" s="336">
        <f t="shared" si="4"/>
        <v>4509119.1645878758</v>
      </c>
      <c r="W69" s="180"/>
      <c r="X69" s="180"/>
      <c r="Y69" s="180"/>
      <c r="Z69" s="15"/>
    </row>
    <row r="70" spans="1:26" x14ac:dyDescent="0.25">
      <c r="A70" s="111">
        <f>Données!A70</f>
        <v>5511</v>
      </c>
      <c r="B70" s="119" t="str">
        <f>Données!B70</f>
        <v>Assens</v>
      </c>
      <c r="C70" s="307">
        <f>Ressources!H70</f>
        <v>-779840.28125012608</v>
      </c>
      <c r="D70" s="307">
        <f>Ressources!L70</f>
        <v>0</v>
      </c>
      <c r="E70" s="335">
        <f>Ressources!T70</f>
        <v>-209045.85823028348</v>
      </c>
      <c r="F70" s="308">
        <f t="shared" si="0"/>
        <v>-988886.13948040956</v>
      </c>
      <c r="G70" s="307">
        <f>'Besoins structurels'!I70</f>
        <v>0</v>
      </c>
      <c r="H70" s="307">
        <f>'Besoins structurels'!N70</f>
        <v>0</v>
      </c>
      <c r="I70" s="307">
        <f>'Besoins structurels'!V70</f>
        <v>0</v>
      </c>
      <c r="J70" s="309">
        <f t="shared" si="1"/>
        <v>0</v>
      </c>
      <c r="K70" s="307">
        <f>'Charges des villes'!N70</f>
        <v>631944.12202352204</v>
      </c>
      <c r="L70" s="307">
        <f>'Charges des villes'!U70</f>
        <v>176720.80903053799</v>
      </c>
      <c r="M70" s="302">
        <f t="shared" si="2"/>
        <v>808664.93105406</v>
      </c>
      <c r="N70" s="308">
        <f>-VLOOKUP(A70,Paramètres!$B$23:$C$322,2,FALSE)*$N$5</f>
        <v>-58900</v>
      </c>
      <c r="O70" s="322"/>
      <c r="P70" s="602">
        <f t="shared" si="3"/>
        <v>-239121.20842634956</v>
      </c>
      <c r="Q70" s="603"/>
      <c r="R70" s="603"/>
      <c r="S70" s="604"/>
      <c r="T70" s="308">
        <f>PCS!D70</f>
        <v>1700921.8637636451</v>
      </c>
      <c r="U70" s="303">
        <f>Police!U70</f>
        <v>271574.85351934133</v>
      </c>
      <c r="V70" s="336">
        <f t="shared" si="4"/>
        <v>1733375.5088566369</v>
      </c>
      <c r="W70" s="180"/>
      <c r="X70" s="180"/>
      <c r="Y70" s="180"/>
      <c r="Z70" s="15"/>
    </row>
    <row r="71" spans="1:26" x14ac:dyDescent="0.25">
      <c r="A71" s="111">
        <f>Données!A71</f>
        <v>5512</v>
      </c>
      <c r="B71" s="119" t="str">
        <f>Données!B71</f>
        <v>Bercher</v>
      </c>
      <c r="C71" s="307">
        <f>Ressources!H71</f>
        <v>-1439745.1700894739</v>
      </c>
      <c r="D71" s="307">
        <f>Ressources!L71</f>
        <v>0</v>
      </c>
      <c r="E71" s="335">
        <f>Ressources!T71</f>
        <v>-126436.7103949372</v>
      </c>
      <c r="F71" s="308">
        <f t="shared" si="0"/>
        <v>-1566181.880484411</v>
      </c>
      <c r="G71" s="307">
        <f>'Besoins structurels'!I71</f>
        <v>0</v>
      </c>
      <c r="H71" s="307">
        <f>'Besoins structurels'!N71</f>
        <v>0</v>
      </c>
      <c r="I71" s="307">
        <f>'Besoins structurels'!V71</f>
        <v>-466</v>
      </c>
      <c r="J71" s="309">
        <f t="shared" si="1"/>
        <v>-466</v>
      </c>
      <c r="K71" s="307">
        <f>'Charges des villes'!N71</f>
        <v>544875.51332033158</v>
      </c>
      <c r="L71" s="307">
        <f>'Charges des villes'!U71</f>
        <v>137471.99740841507</v>
      </c>
      <c r="M71" s="302">
        <f t="shared" si="2"/>
        <v>682347.51072874665</v>
      </c>
      <c r="N71" s="308">
        <f>-VLOOKUP(A71,Paramètres!$B$23:$C$322,2,FALSE)*$N$5</f>
        <v>-192200</v>
      </c>
      <c r="O71" s="322"/>
      <c r="P71" s="602">
        <f t="shared" si="3"/>
        <v>-1076500.3697556644</v>
      </c>
      <c r="Q71" s="603"/>
      <c r="R71" s="603"/>
      <c r="S71" s="604"/>
      <c r="T71" s="308">
        <f>PCS!D71</f>
        <v>1323155.5883542036</v>
      </c>
      <c r="U71" s="303">
        <f>Police!U71</f>
        <v>205818.28409879998</v>
      </c>
      <c r="V71" s="336">
        <f t="shared" si="4"/>
        <v>452473.50269733922</v>
      </c>
      <c r="W71" s="180"/>
      <c r="X71" s="180"/>
      <c r="Y71" s="180"/>
      <c r="Z71" s="15"/>
    </row>
    <row r="72" spans="1:26" x14ac:dyDescent="0.25">
      <c r="A72" s="111">
        <f>Données!A72</f>
        <v>5514</v>
      </c>
      <c r="B72" s="119" t="str">
        <f>Données!B72</f>
        <v>Bottens</v>
      </c>
      <c r="C72" s="307">
        <f>Ressources!H72</f>
        <v>-1332143.2565186885</v>
      </c>
      <c r="D72" s="307">
        <f>Ressources!L72</f>
        <v>0</v>
      </c>
      <c r="E72" s="335">
        <f>Ressources!T72</f>
        <v>-247332.00453169076</v>
      </c>
      <c r="F72" s="308">
        <f t="shared" si="0"/>
        <v>-1579475.2610503794</v>
      </c>
      <c r="G72" s="307">
        <f>'Besoins structurels'!I72</f>
        <v>0</v>
      </c>
      <c r="H72" s="307">
        <f>'Besoins structurels'!N72</f>
        <v>-37316</v>
      </c>
      <c r="I72" s="307">
        <f>'Besoins structurels'!V72</f>
        <v>-86467</v>
      </c>
      <c r="J72" s="309">
        <f t="shared" si="1"/>
        <v>-123783</v>
      </c>
      <c r="K72" s="307">
        <f>'Charges des villes'!N72</f>
        <v>551607.62224068132</v>
      </c>
      <c r="L72" s="307">
        <f>'Charges des villes'!U72</f>
        <v>140506.69933796066</v>
      </c>
      <c r="M72" s="302">
        <f t="shared" si="2"/>
        <v>692114.321578642</v>
      </c>
      <c r="N72" s="308">
        <f>-VLOOKUP(A72,Paramètres!$B$23:$C$322,2,FALSE)*$N$5</f>
        <v>0</v>
      </c>
      <c r="O72" s="322"/>
      <c r="P72" s="602">
        <f t="shared" si="3"/>
        <v>-1011143.9394717374</v>
      </c>
      <c r="Q72" s="603"/>
      <c r="R72" s="603"/>
      <c r="S72" s="604"/>
      <c r="T72" s="308">
        <f>PCS!D72</f>
        <v>1352364.3209889543</v>
      </c>
      <c r="U72" s="303">
        <f>Police!U72</f>
        <v>210902.55493028514</v>
      </c>
      <c r="V72" s="336">
        <f t="shared" si="4"/>
        <v>552122.93644750211</v>
      </c>
      <c r="W72" s="180"/>
      <c r="X72" s="180"/>
      <c r="Y72" s="180"/>
      <c r="Z72" s="15"/>
    </row>
    <row r="73" spans="1:26" x14ac:dyDescent="0.25">
      <c r="A73" s="111">
        <f>Données!A73</f>
        <v>5515</v>
      </c>
      <c r="B73" s="119" t="str">
        <f>Données!B73</f>
        <v>Bretigny-sur-Morrens</v>
      </c>
      <c r="C73" s="307">
        <f>Ressources!H73</f>
        <v>-779310.49461492954</v>
      </c>
      <c r="D73" s="307">
        <f>Ressources!L73</f>
        <v>0</v>
      </c>
      <c r="E73" s="335">
        <f>Ressources!T73</f>
        <v>-157674.17580403158</v>
      </c>
      <c r="F73" s="308">
        <f t="shared" ref="F73:F136" si="5">SUM(C73:E73)</f>
        <v>-936984.67041896109</v>
      </c>
      <c r="G73" s="307">
        <f>'Besoins structurels'!I73</f>
        <v>0</v>
      </c>
      <c r="H73" s="307">
        <f>'Besoins structurels'!N73</f>
        <v>-107</v>
      </c>
      <c r="I73" s="307">
        <f>'Besoins structurels'!V73</f>
        <v>0</v>
      </c>
      <c r="J73" s="309">
        <f t="shared" ref="J73:J136" si="6">SUM(G73:I73)</f>
        <v>-107</v>
      </c>
      <c r="K73" s="307">
        <f>'Charges des villes'!N73</f>
        <v>414632.94664678356</v>
      </c>
      <c r="L73" s="307">
        <f>'Charges des villes'!U73</f>
        <v>90332.960769473633</v>
      </c>
      <c r="M73" s="302">
        <f t="shared" ref="M73:M136" si="7">SUM(K73:L73)</f>
        <v>504965.90741625719</v>
      </c>
      <c r="N73" s="308">
        <f>-VLOOKUP(A73,Paramètres!$B$23:$C$322,2,FALSE)*$N$5</f>
        <v>-6500</v>
      </c>
      <c r="O73" s="322"/>
      <c r="P73" s="602">
        <f t="shared" ref="P73:P136" si="8">F73+J73+M73+N73</f>
        <v>-438625.7630027039</v>
      </c>
      <c r="Q73" s="603"/>
      <c r="R73" s="603"/>
      <c r="S73" s="604"/>
      <c r="T73" s="308">
        <f>PCS!D73</f>
        <v>869446.60809441051</v>
      </c>
      <c r="U73" s="303">
        <f>Police!U73</f>
        <v>129464.0232651173</v>
      </c>
      <c r="V73" s="336">
        <f t="shared" ref="V73:V136" si="9">P73+T73+U73</f>
        <v>560284.86835682392</v>
      </c>
      <c r="W73" s="180"/>
      <c r="X73" s="180"/>
      <c r="Y73" s="180"/>
      <c r="Z73" s="15"/>
    </row>
    <row r="74" spans="1:26" x14ac:dyDescent="0.25">
      <c r="A74" s="111">
        <f>Données!A74</f>
        <v>5516</v>
      </c>
      <c r="B74" s="119" t="str">
        <f>Données!B74</f>
        <v>Cugy</v>
      </c>
      <c r="C74" s="307">
        <f>Ressources!H74</f>
        <v>-1773044.3707037598</v>
      </c>
      <c r="D74" s="307">
        <f>Ressources!L74</f>
        <v>0</v>
      </c>
      <c r="E74" s="335">
        <f>Ressources!T74</f>
        <v>-418275.930739737</v>
      </c>
      <c r="F74" s="308">
        <f t="shared" si="5"/>
        <v>-2191320.3014434967</v>
      </c>
      <c r="G74" s="307">
        <f>'Besoins structurels'!I74</f>
        <v>0</v>
      </c>
      <c r="H74" s="307">
        <f>'Besoins structurels'!N74</f>
        <v>-1182</v>
      </c>
      <c r="I74" s="307">
        <f>'Besoins structurels'!V74</f>
        <v>0</v>
      </c>
      <c r="J74" s="309">
        <f t="shared" si="6"/>
        <v>-1182</v>
      </c>
      <c r="K74" s="307">
        <f>'Charges des villes'!N74</f>
        <v>873626.83226407901</v>
      </c>
      <c r="L74" s="307">
        <f>'Charges des villes'!U74</f>
        <v>285666.60830122454</v>
      </c>
      <c r="M74" s="302">
        <f t="shared" si="7"/>
        <v>1159293.4405653034</v>
      </c>
      <c r="N74" s="308">
        <f>-VLOOKUP(A74,Paramètres!$B$23:$C$322,2,FALSE)*$N$5</f>
        <v>-24100</v>
      </c>
      <c r="O74" s="322"/>
      <c r="P74" s="602">
        <f t="shared" si="8"/>
        <v>-1057308.8608781933</v>
      </c>
      <c r="Q74" s="603"/>
      <c r="R74" s="603"/>
      <c r="S74" s="604"/>
      <c r="T74" s="308">
        <f>PCS!D74</f>
        <v>2749515.3653511927</v>
      </c>
      <c r="U74" s="303">
        <f>Police!U74</f>
        <v>454100.17636965855</v>
      </c>
      <c r="V74" s="336">
        <f t="shared" si="9"/>
        <v>2146306.680842658</v>
      </c>
      <c r="W74" s="180"/>
      <c r="X74" s="180"/>
      <c r="Y74" s="180"/>
      <c r="Z74" s="15"/>
    </row>
    <row r="75" spans="1:26" x14ac:dyDescent="0.25">
      <c r="A75" s="111">
        <f>Données!A75</f>
        <v>5518</v>
      </c>
      <c r="B75" s="119" t="str">
        <f>Données!B75</f>
        <v>Echallens</v>
      </c>
      <c r="C75" s="307">
        <f>Ressources!H75</f>
        <v>-7620234.9313618662</v>
      </c>
      <c r="D75" s="307">
        <f>Ressources!L75</f>
        <v>0</v>
      </c>
      <c r="E75" s="335">
        <f>Ressources!T75</f>
        <v>-1092676.8518704134</v>
      </c>
      <c r="F75" s="308">
        <f t="shared" si="5"/>
        <v>-8712911.7832322791</v>
      </c>
      <c r="G75" s="307">
        <f>'Besoins structurels'!I75</f>
        <v>0</v>
      </c>
      <c r="H75" s="307">
        <f>'Besoins structurels'!N75</f>
        <v>0</v>
      </c>
      <c r="I75" s="307">
        <f>'Besoins structurels'!V75</f>
        <v>0</v>
      </c>
      <c r="J75" s="309">
        <f t="shared" si="6"/>
        <v>0</v>
      </c>
      <c r="K75" s="307">
        <f>'Charges des villes'!N75</f>
        <v>650501.31881029392</v>
      </c>
      <c r="L75" s="307">
        <f>'Charges des villes'!U75</f>
        <v>689484.27839275729</v>
      </c>
      <c r="M75" s="302">
        <f t="shared" si="7"/>
        <v>1339985.5972030512</v>
      </c>
      <c r="N75" s="308">
        <f>-VLOOKUP(A75,Paramètres!$B$23:$C$322,2,FALSE)*$N$5</f>
        <v>-385500</v>
      </c>
      <c r="O75" s="322"/>
      <c r="P75" s="602">
        <f t="shared" si="8"/>
        <v>-7758426.1860292275</v>
      </c>
      <c r="Q75" s="603"/>
      <c r="R75" s="603"/>
      <c r="S75" s="604"/>
      <c r="T75" s="308">
        <f>PCS!D75</f>
        <v>6636224.054615343</v>
      </c>
      <c r="U75" s="303">
        <f>Police!U75</f>
        <v>1199636.8520879676</v>
      </c>
      <c r="V75" s="336">
        <f t="shared" si="9"/>
        <v>77434.720674083102</v>
      </c>
      <c r="W75" s="180"/>
      <c r="X75" s="180"/>
      <c r="Y75" s="180"/>
      <c r="Z75" s="15"/>
    </row>
    <row r="76" spans="1:26" x14ac:dyDescent="0.25">
      <c r="A76" s="111">
        <f>Données!A76</f>
        <v>5520</v>
      </c>
      <c r="B76" s="119" t="str">
        <f>Données!B76</f>
        <v>Essertines-sur-Yverdon</v>
      </c>
      <c r="C76" s="307">
        <f>Ressources!H76</f>
        <v>-1248627.7166157551</v>
      </c>
      <c r="D76" s="307">
        <f>Ressources!L76</f>
        <v>0</v>
      </c>
      <c r="E76" s="335">
        <f>Ressources!T76</f>
        <v>-181821.5374593162</v>
      </c>
      <c r="F76" s="308">
        <f t="shared" si="5"/>
        <v>-1430449.2540750713</v>
      </c>
      <c r="G76" s="307">
        <f>'Besoins structurels'!I76</f>
        <v>-7091</v>
      </c>
      <c r="H76" s="307">
        <f>'Besoins structurels'!N76</f>
        <v>0</v>
      </c>
      <c r="I76" s="307">
        <f>'Besoins structurels'!V76</f>
        <v>-150898</v>
      </c>
      <c r="J76" s="309">
        <f t="shared" si="6"/>
        <v>-157989</v>
      </c>
      <c r="K76" s="307">
        <f>'Charges des villes'!N76</f>
        <v>505380.4743209462</v>
      </c>
      <c r="L76" s="307">
        <f>'Charges des villes'!U76</f>
        <v>119668.41275508096</v>
      </c>
      <c r="M76" s="302">
        <f t="shared" si="7"/>
        <v>625048.88707602723</v>
      </c>
      <c r="N76" s="308">
        <f>-VLOOKUP(A76,Paramètres!$B$23:$C$322,2,FALSE)*$N$5</f>
        <v>0</v>
      </c>
      <c r="O76" s="322"/>
      <c r="P76" s="602">
        <f t="shared" si="8"/>
        <v>-963389.36699904408</v>
      </c>
      <c r="Q76" s="603"/>
      <c r="R76" s="603"/>
      <c r="S76" s="604"/>
      <c r="T76" s="308">
        <f>PCS!D76</f>
        <v>1151797.6902303332</v>
      </c>
      <c r="U76" s="303">
        <f>Police!U76</f>
        <v>175990.56188742039</v>
      </c>
      <c r="V76" s="336">
        <f t="shared" si="9"/>
        <v>364398.88511870953</v>
      </c>
      <c r="W76" s="180"/>
      <c r="X76" s="180"/>
      <c r="Y76" s="180"/>
      <c r="Z76" s="15"/>
    </row>
    <row r="77" spans="1:26" x14ac:dyDescent="0.25">
      <c r="A77" s="111">
        <f>Données!A77</f>
        <v>5521</v>
      </c>
      <c r="B77" s="119" t="str">
        <f>Données!B77</f>
        <v>Etagnières</v>
      </c>
      <c r="C77" s="307">
        <f>Ressources!H77</f>
        <v>-856777.14830581774</v>
      </c>
      <c r="D77" s="307">
        <f>Ressources!L77</f>
        <v>0</v>
      </c>
      <c r="E77" s="335">
        <f>Ressources!T77</f>
        <v>-214612.91539093936</v>
      </c>
      <c r="F77" s="308">
        <f t="shared" si="5"/>
        <v>-1071390.0636967572</v>
      </c>
      <c r="G77" s="307">
        <f>'Besoins structurels'!I77</f>
        <v>0</v>
      </c>
      <c r="H77" s="307">
        <f>'Besoins structurels'!N77</f>
        <v>0</v>
      </c>
      <c r="I77" s="307">
        <f>'Besoins structurels'!V77</f>
        <v>0</v>
      </c>
      <c r="J77" s="309">
        <f t="shared" si="6"/>
        <v>0</v>
      </c>
      <c r="K77" s="307">
        <f>'Charges des villes'!N77</f>
        <v>502014.41986077133</v>
      </c>
      <c r="L77" s="307">
        <f>'Charges des villes'!U77</f>
        <v>118151.06179030817</v>
      </c>
      <c r="M77" s="302">
        <f t="shared" si="7"/>
        <v>620165.48165107949</v>
      </c>
      <c r="N77" s="308">
        <f>-VLOOKUP(A77,Paramètres!$B$23:$C$322,2,FALSE)*$N$5</f>
        <v>0</v>
      </c>
      <c r="O77" s="322"/>
      <c r="P77" s="602">
        <f t="shared" si="8"/>
        <v>-451224.5820456777</v>
      </c>
      <c r="Q77" s="603"/>
      <c r="R77" s="603"/>
      <c r="S77" s="604"/>
      <c r="T77" s="308">
        <f>PCS!D77</f>
        <v>1137193.3239129579</v>
      </c>
      <c r="U77" s="303">
        <f>Police!U77</f>
        <v>173448.42647167781</v>
      </c>
      <c r="V77" s="336">
        <f t="shared" si="9"/>
        <v>859417.16833895806</v>
      </c>
      <c r="W77" s="180"/>
      <c r="X77" s="180"/>
      <c r="Y77" s="180"/>
      <c r="Z77" s="15"/>
    </row>
    <row r="78" spans="1:26" x14ac:dyDescent="0.25">
      <c r="A78" s="111">
        <f>Données!A78</f>
        <v>5522</v>
      </c>
      <c r="B78" s="119" t="str">
        <f>Données!B78</f>
        <v>Fey</v>
      </c>
      <c r="C78" s="307">
        <f>Ressources!H78</f>
        <v>-866075.12309692288</v>
      </c>
      <c r="D78" s="307">
        <f>Ressources!L78</f>
        <v>0</v>
      </c>
      <c r="E78" s="335">
        <f>Ressources!T78</f>
        <v>-128650.78773906939</v>
      </c>
      <c r="F78" s="308">
        <f t="shared" si="5"/>
        <v>-994725.91083599231</v>
      </c>
      <c r="G78" s="307">
        <f>'Besoins structurels'!I78</f>
        <v>-14525</v>
      </c>
      <c r="H78" s="307">
        <f>'Besoins structurels'!N78</f>
        <v>0</v>
      </c>
      <c r="I78" s="307">
        <f>'Besoins structurels'!V78</f>
        <v>-82396</v>
      </c>
      <c r="J78" s="309">
        <f t="shared" si="6"/>
        <v>-96921</v>
      </c>
      <c r="K78" s="307">
        <f>'Charges des villes'!N78</f>
        <v>367272.85643628868</v>
      </c>
      <c r="L78" s="307">
        <f>'Charges des villes'!U78</f>
        <v>80014.974209018634</v>
      </c>
      <c r="M78" s="302">
        <f t="shared" si="7"/>
        <v>447287.83064530732</v>
      </c>
      <c r="N78" s="308">
        <f>-VLOOKUP(A78,Paramètres!$B$23:$C$322,2,FALSE)*$N$5</f>
        <v>0</v>
      </c>
      <c r="O78" s="322"/>
      <c r="P78" s="602">
        <f t="shared" si="8"/>
        <v>-644359.080190685</v>
      </c>
      <c r="Q78" s="603"/>
      <c r="R78" s="603"/>
      <c r="S78" s="604"/>
      <c r="T78" s="308">
        <f>PCS!D78</f>
        <v>770136.91713625833</v>
      </c>
      <c r="U78" s="303">
        <f>Police!U78</f>
        <v>114676.41926395048</v>
      </c>
      <c r="V78" s="336">
        <f t="shared" si="9"/>
        <v>240454.25620952382</v>
      </c>
      <c r="W78" s="180"/>
      <c r="X78" s="180"/>
      <c r="Y78" s="180"/>
      <c r="Z78" s="15"/>
    </row>
    <row r="79" spans="1:26" x14ac:dyDescent="0.25">
      <c r="A79" s="111">
        <f>Données!A79</f>
        <v>5523</v>
      </c>
      <c r="B79" s="119" t="str">
        <f>Données!B79</f>
        <v>Froideville</v>
      </c>
      <c r="C79" s="307">
        <f>Ressources!H79</f>
        <v>-2659493.8458813787</v>
      </c>
      <c r="D79" s="307">
        <f>Ressources!L79</f>
        <v>0</v>
      </c>
      <c r="E79" s="335">
        <f>Ressources!T79</f>
        <v>-537136.42343374877</v>
      </c>
      <c r="F79" s="308">
        <f t="shared" si="5"/>
        <v>-3196630.2693151273</v>
      </c>
      <c r="G79" s="307">
        <f>'Besoins structurels'!I79</f>
        <v>0</v>
      </c>
      <c r="H79" s="307">
        <f>'Besoins structurels'!N79</f>
        <v>-52504</v>
      </c>
      <c r="I79" s="307">
        <f>'Besoins structurels'!V79</f>
        <v>-135840</v>
      </c>
      <c r="J79" s="309">
        <f t="shared" si="6"/>
        <v>-188344</v>
      </c>
      <c r="K79" s="307">
        <f>'Charges des villes'!N79</f>
        <v>848718.02925878495</v>
      </c>
      <c r="L79" s="307">
        <f>'Charges des villes'!U79</f>
        <v>274438.2111619059</v>
      </c>
      <c r="M79" s="302">
        <f t="shared" si="7"/>
        <v>1123156.2404206907</v>
      </c>
      <c r="N79" s="308">
        <f>-VLOOKUP(A79,Paramètres!$B$23:$C$322,2,FALSE)*$N$5</f>
        <v>0</v>
      </c>
      <c r="O79" s="322"/>
      <c r="P79" s="602">
        <f t="shared" si="8"/>
        <v>-2261818.0288944365</v>
      </c>
      <c r="Q79" s="603"/>
      <c r="R79" s="603"/>
      <c r="S79" s="604"/>
      <c r="T79" s="308">
        <f>PCS!D79</f>
        <v>2641443.0546026155</v>
      </c>
      <c r="U79" s="303">
        <f>Police!U79</f>
        <v>435288.37429316342</v>
      </c>
      <c r="V79" s="336">
        <f t="shared" si="9"/>
        <v>814913.40000134241</v>
      </c>
      <c r="W79" s="180"/>
      <c r="X79" s="180"/>
      <c r="Y79" s="180"/>
      <c r="Z79" s="15"/>
    </row>
    <row r="80" spans="1:26" x14ac:dyDescent="0.25">
      <c r="A80" s="111">
        <f>Données!A80</f>
        <v>5527</v>
      </c>
      <c r="B80" s="119" t="str">
        <f>Données!B80</f>
        <v>Morrens</v>
      </c>
      <c r="C80" s="307">
        <f>Ressources!H80</f>
        <v>-789839.3658928225</v>
      </c>
      <c r="D80" s="307">
        <f>Ressources!L80</f>
        <v>0</v>
      </c>
      <c r="E80" s="335">
        <f>Ressources!T80</f>
        <v>-267363.95455276163</v>
      </c>
      <c r="F80" s="308">
        <f t="shared" si="5"/>
        <v>-1057203.3204455841</v>
      </c>
      <c r="G80" s="307">
        <f>'Besoins structurels'!I80</f>
        <v>0</v>
      </c>
      <c r="H80" s="307">
        <f>'Besoins structurels'!N80</f>
        <v>0</v>
      </c>
      <c r="I80" s="307">
        <f>'Besoins structurels'!V80</f>
        <v>-32863</v>
      </c>
      <c r="J80" s="309">
        <f t="shared" si="6"/>
        <v>-32863</v>
      </c>
      <c r="K80" s="307">
        <f>'Charges des villes'!N80</f>
        <v>496853.13635516982</v>
      </c>
      <c r="L80" s="307">
        <f>'Charges des villes'!U80</f>
        <v>115824.45697765655</v>
      </c>
      <c r="M80" s="302">
        <f t="shared" si="7"/>
        <v>612677.59333282639</v>
      </c>
      <c r="N80" s="308">
        <f>-VLOOKUP(A80,Paramètres!$B$23:$C$322,2,FALSE)*$N$5</f>
        <v>0</v>
      </c>
      <c r="O80" s="322"/>
      <c r="P80" s="602">
        <f t="shared" si="8"/>
        <v>-477388.72711275774</v>
      </c>
      <c r="Q80" s="603"/>
      <c r="R80" s="603"/>
      <c r="S80" s="604"/>
      <c r="T80" s="308">
        <f>PCS!D80</f>
        <v>1114799.9622263159</v>
      </c>
      <c r="U80" s="303">
        <f>Police!U80</f>
        <v>169550.48550087251</v>
      </c>
      <c r="V80" s="336">
        <f t="shared" si="9"/>
        <v>806961.72061443061</v>
      </c>
      <c r="W80" s="180"/>
      <c r="X80" s="180"/>
      <c r="Y80" s="180"/>
      <c r="Z80" s="15"/>
    </row>
    <row r="81" spans="1:26" x14ac:dyDescent="0.25">
      <c r="A81" s="111">
        <f>Données!A81</f>
        <v>5529</v>
      </c>
      <c r="B81" s="119" t="str">
        <f>Données!B81</f>
        <v>Oulens-sous-Echallens</v>
      </c>
      <c r="C81" s="307">
        <f>Ressources!H81</f>
        <v>-460911.32034399046</v>
      </c>
      <c r="D81" s="307">
        <f>Ressources!L81</f>
        <v>0</v>
      </c>
      <c r="E81" s="335">
        <f>Ressources!T81</f>
        <v>-54733.151976097681</v>
      </c>
      <c r="F81" s="308">
        <f t="shared" si="5"/>
        <v>-515644.47232008813</v>
      </c>
      <c r="G81" s="307">
        <f>'Besoins structurels'!I81</f>
        <v>-13048</v>
      </c>
      <c r="H81" s="307">
        <f>'Besoins structurels'!N81</f>
        <v>0</v>
      </c>
      <c r="I81" s="307">
        <f>'Besoins structurels'!V81</f>
        <v>-9837</v>
      </c>
      <c r="J81" s="309">
        <f t="shared" si="6"/>
        <v>-22885</v>
      </c>
      <c r="K81" s="307">
        <f>'Charges des villes'!N81</f>
        <v>282767.59743324888</v>
      </c>
      <c r="L81" s="307">
        <f>'Charges des villes'!U81</f>
        <v>61604.449169775406</v>
      </c>
      <c r="M81" s="302">
        <f t="shared" si="7"/>
        <v>344372.0466030243</v>
      </c>
      <c r="N81" s="308">
        <f>-VLOOKUP(A81,Paramètres!$B$23:$C$322,2,FALSE)*$N$5</f>
        <v>0</v>
      </c>
      <c r="O81" s="322"/>
      <c r="P81" s="602">
        <f t="shared" si="8"/>
        <v>-194157.42571706389</v>
      </c>
      <c r="Q81" s="603"/>
      <c r="R81" s="603"/>
      <c r="S81" s="604"/>
      <c r="T81" s="308">
        <f>PCS!D81</f>
        <v>592937.2724854378</v>
      </c>
      <c r="U81" s="303">
        <f>Police!U81</f>
        <v>88290.694477554789</v>
      </c>
      <c r="V81" s="336">
        <f t="shared" si="9"/>
        <v>487070.54124592873</v>
      </c>
      <c r="W81" s="180"/>
      <c r="X81" s="180"/>
      <c r="Y81" s="180"/>
      <c r="Z81" s="15"/>
    </row>
    <row r="82" spans="1:26" x14ac:dyDescent="0.25">
      <c r="A82" s="111">
        <f>Données!A82</f>
        <v>5530</v>
      </c>
      <c r="B82" s="119" t="str">
        <f>Données!B82</f>
        <v>Pailly</v>
      </c>
      <c r="C82" s="307">
        <f>Ressources!H82</f>
        <v>-509973.71332086745</v>
      </c>
      <c r="D82" s="307">
        <f>Ressources!L82</f>
        <v>0</v>
      </c>
      <c r="E82" s="335">
        <f>Ressources!T82</f>
        <v>-81163.630954443608</v>
      </c>
      <c r="F82" s="308">
        <f t="shared" si="5"/>
        <v>-591137.3442753111</v>
      </c>
      <c r="G82" s="307">
        <f>'Besoins structurels'!I82</f>
        <v>-13901</v>
      </c>
      <c r="H82" s="307">
        <f>'Besoins structurels'!N82</f>
        <v>0</v>
      </c>
      <c r="I82" s="307">
        <f>'Besoins structurels'!V82</f>
        <v>-93777</v>
      </c>
      <c r="J82" s="309">
        <f t="shared" si="6"/>
        <v>-107678</v>
      </c>
      <c r="K82" s="307">
        <f>'Charges des villes'!N82</f>
        <v>266980.9006964172</v>
      </c>
      <c r="L82" s="307">
        <f>'Charges des villes'!U82</f>
        <v>58165.120316290406</v>
      </c>
      <c r="M82" s="302">
        <f t="shared" si="7"/>
        <v>325146.02101270761</v>
      </c>
      <c r="N82" s="308">
        <f>-VLOOKUP(A82,Paramètres!$B$23:$C$322,2,FALSE)*$N$5</f>
        <v>-184300</v>
      </c>
      <c r="O82" s="322"/>
      <c r="P82" s="602">
        <f t="shared" si="8"/>
        <v>-557969.32326260349</v>
      </c>
      <c r="Q82" s="603"/>
      <c r="R82" s="603"/>
      <c r="S82" s="604"/>
      <c r="T82" s="308">
        <f>PCS!D82</f>
        <v>559834.04216605378</v>
      </c>
      <c r="U82" s="303">
        <f>Police!U82</f>
        <v>83361.493143832515</v>
      </c>
      <c r="V82" s="336">
        <f t="shared" si="9"/>
        <v>85226.21204728281</v>
      </c>
      <c r="W82" s="180"/>
      <c r="X82" s="180"/>
      <c r="Y82" s="180"/>
      <c r="Z82" s="15"/>
    </row>
    <row r="83" spans="1:26" x14ac:dyDescent="0.25">
      <c r="A83" s="111">
        <f>Données!A83</f>
        <v>5531</v>
      </c>
      <c r="B83" s="119" t="str">
        <f>Données!B83</f>
        <v>Penthéréaz</v>
      </c>
      <c r="C83" s="307">
        <f>Ressources!H83</f>
        <v>-850759.82665165828</v>
      </c>
      <c r="D83" s="307">
        <f>Ressources!L83</f>
        <v>-58252</v>
      </c>
      <c r="E83" s="335">
        <f>Ressources!T83</f>
        <v>-57057.860166403225</v>
      </c>
      <c r="F83" s="308">
        <f t="shared" si="5"/>
        <v>-966069.68681806151</v>
      </c>
      <c r="G83" s="307">
        <f>'Besoins structurels'!I83</f>
        <v>-24417</v>
      </c>
      <c r="H83" s="307">
        <f>'Besoins structurels'!N83</f>
        <v>0</v>
      </c>
      <c r="I83" s="307">
        <f>'Besoins structurels'!V83</f>
        <v>-25405</v>
      </c>
      <c r="J83" s="309">
        <f t="shared" si="6"/>
        <v>-49822</v>
      </c>
      <c r="K83" s="307">
        <f>'Charges des villes'!N83</f>
        <v>207084.31601843837</v>
      </c>
      <c r="L83" s="307">
        <f>'Charges des villes'!U83</f>
        <v>45115.902019244386</v>
      </c>
      <c r="M83" s="302">
        <f t="shared" si="7"/>
        <v>252200.21803768276</v>
      </c>
      <c r="N83" s="308">
        <f>-VLOOKUP(A83,Paramètres!$B$23:$C$322,2,FALSE)*$N$5</f>
        <v>0</v>
      </c>
      <c r="O83" s="322"/>
      <c r="P83" s="602">
        <f t="shared" si="8"/>
        <v>-763691.46878037881</v>
      </c>
      <c r="Q83" s="603"/>
      <c r="R83" s="603"/>
      <c r="S83" s="604"/>
      <c r="T83" s="308">
        <f>PCS!D83</f>
        <v>434236.49183662608</v>
      </c>
      <c r="U83" s="303">
        <f>Police!U83</f>
        <v>64659.52337765097</v>
      </c>
      <c r="V83" s="336">
        <f t="shared" si="9"/>
        <v>-264795.45356610173</v>
      </c>
      <c r="W83" s="180"/>
      <c r="X83" s="180"/>
      <c r="Y83" s="180"/>
      <c r="Z83" s="15"/>
    </row>
    <row r="84" spans="1:26" x14ac:dyDescent="0.25">
      <c r="A84" s="111">
        <f>Données!A84</f>
        <v>5533</v>
      </c>
      <c r="B84" s="119" t="str">
        <f>Données!B84</f>
        <v>Poliez-Pittet</v>
      </c>
      <c r="C84" s="307">
        <f>Ressources!H84</f>
        <v>-587592.18181223457</v>
      </c>
      <c r="D84" s="307">
        <f>Ressources!L84</f>
        <v>0</v>
      </c>
      <c r="E84" s="335">
        <f>Ressources!T84</f>
        <v>-88850.659127676074</v>
      </c>
      <c r="F84" s="308">
        <f t="shared" si="5"/>
        <v>-676442.84093991062</v>
      </c>
      <c r="G84" s="307">
        <f>'Besoins structurels'!I84</f>
        <v>0</v>
      </c>
      <c r="H84" s="307">
        <f>'Besoins structurels'!N84</f>
        <v>-22516</v>
      </c>
      <c r="I84" s="307">
        <f>'Besoins structurels'!V84</f>
        <v>-104672</v>
      </c>
      <c r="J84" s="309">
        <f t="shared" si="6"/>
        <v>-127188</v>
      </c>
      <c r="K84" s="307">
        <f>'Charges des villes'!N84</f>
        <v>393274.4745910702</v>
      </c>
      <c r="L84" s="307">
        <f>'Charges des villes'!U84</f>
        <v>85679.751144170397</v>
      </c>
      <c r="M84" s="302">
        <f t="shared" si="7"/>
        <v>478954.22573524062</v>
      </c>
      <c r="N84" s="308">
        <f>-VLOOKUP(A84,Paramètres!$B$23:$C$322,2,FALSE)*$N$5</f>
        <v>0</v>
      </c>
      <c r="O84" s="322"/>
      <c r="P84" s="602">
        <f t="shared" si="8"/>
        <v>-324676.61520467</v>
      </c>
      <c r="Q84" s="603"/>
      <c r="R84" s="603"/>
      <c r="S84" s="604"/>
      <c r="T84" s="308">
        <f>PCS!D84</f>
        <v>824659.88472112617</v>
      </c>
      <c r="U84" s="303">
        <f>Police!U84</f>
        <v>122795.10381361068</v>
      </c>
      <c r="V84" s="336">
        <f t="shared" si="9"/>
        <v>622778.37333006691</v>
      </c>
      <c r="W84" s="180"/>
      <c r="X84" s="180"/>
      <c r="Y84" s="180"/>
      <c r="Z84" s="15"/>
    </row>
    <row r="85" spans="1:26" x14ac:dyDescent="0.25">
      <c r="A85" s="111">
        <f>Données!A85</f>
        <v>5534</v>
      </c>
      <c r="B85" s="119" t="str">
        <f>Données!B85</f>
        <v>Rueyres</v>
      </c>
      <c r="C85" s="307">
        <f>Ressources!H85</f>
        <v>-169808.87116985369</v>
      </c>
      <c r="D85" s="307">
        <f>Ressources!L85</f>
        <v>0</v>
      </c>
      <c r="E85" s="335">
        <f>Ressources!T85</f>
        <v>-51723.002309986048</v>
      </c>
      <c r="F85" s="308">
        <f t="shared" si="5"/>
        <v>-221531.87347983973</v>
      </c>
      <c r="G85" s="307">
        <f>'Besoins structurels'!I85</f>
        <v>0</v>
      </c>
      <c r="H85" s="307">
        <f>'Besoins structurels'!N85</f>
        <v>0</v>
      </c>
      <c r="I85" s="307">
        <f>'Besoins structurels'!V85</f>
        <v>0</v>
      </c>
      <c r="J85" s="309">
        <f t="shared" si="6"/>
        <v>0</v>
      </c>
      <c r="K85" s="307">
        <f>'Charges des villes'!N85</f>
        <v>140223.01219185742</v>
      </c>
      <c r="L85" s="307">
        <f>'Charges des villes'!U85</f>
        <v>30549.332757425571</v>
      </c>
      <c r="M85" s="302">
        <f t="shared" si="7"/>
        <v>170772.344949283</v>
      </c>
      <c r="N85" s="308">
        <f>-VLOOKUP(A85,Paramètres!$B$23:$C$322,2,FALSE)*$N$5</f>
        <v>0</v>
      </c>
      <c r="O85" s="322"/>
      <c r="P85" s="602">
        <f t="shared" si="8"/>
        <v>-50759.528530556738</v>
      </c>
      <c r="Q85" s="603"/>
      <c r="R85" s="603"/>
      <c r="S85" s="604"/>
      <c r="T85" s="308">
        <f>PCS!D85</f>
        <v>294034.57518982305</v>
      </c>
      <c r="U85" s="303">
        <f>Police!U85</f>
        <v>43782.905964238991</v>
      </c>
      <c r="V85" s="336">
        <f t="shared" si="9"/>
        <v>287057.95262350532</v>
      </c>
      <c r="W85" s="180"/>
      <c r="X85" s="180"/>
      <c r="Y85" s="180"/>
      <c r="Z85" s="15"/>
    </row>
    <row r="86" spans="1:26" x14ac:dyDescent="0.25">
      <c r="A86" s="111">
        <f>Données!A86</f>
        <v>5535</v>
      </c>
      <c r="B86" s="119" t="str">
        <f>Données!B86</f>
        <v>Saint-Barthélemy</v>
      </c>
      <c r="C86" s="307">
        <f>Ressources!H86</f>
        <v>-911655.15511911234</v>
      </c>
      <c r="D86" s="307">
        <f>Ressources!L86</f>
        <v>0</v>
      </c>
      <c r="E86" s="335">
        <f>Ressources!T86</f>
        <v>-75759.469886649982</v>
      </c>
      <c r="F86" s="308">
        <f t="shared" si="5"/>
        <v>-987414.62500576233</v>
      </c>
      <c r="G86" s="307">
        <f>'Besoins structurels'!I86</f>
        <v>0</v>
      </c>
      <c r="H86" s="307">
        <f>'Besoins structurels'!N86</f>
        <v>0</v>
      </c>
      <c r="I86" s="307">
        <f>'Besoins structurels'!V86</f>
        <v>-31849</v>
      </c>
      <c r="J86" s="309">
        <f t="shared" si="6"/>
        <v>-31849</v>
      </c>
      <c r="K86" s="307">
        <f>'Charges des villes'!N86</f>
        <v>389095.64310190891</v>
      </c>
      <c r="L86" s="307">
        <f>'Charges des villes'!U86</f>
        <v>84769.340565306717</v>
      </c>
      <c r="M86" s="302">
        <f t="shared" si="7"/>
        <v>473864.98366721562</v>
      </c>
      <c r="N86" s="308">
        <f>-VLOOKUP(A86,Paramètres!$B$23:$C$322,2,FALSE)*$N$5</f>
        <v>0</v>
      </c>
      <c r="O86" s="322"/>
      <c r="P86" s="602">
        <f t="shared" si="8"/>
        <v>-545398.64133854676</v>
      </c>
      <c r="Q86" s="603"/>
      <c r="R86" s="603"/>
      <c r="S86" s="604"/>
      <c r="T86" s="308">
        <f>PCS!D86</f>
        <v>815897.264930701</v>
      </c>
      <c r="U86" s="303">
        <f>Police!U86</f>
        <v>121490.31522527244</v>
      </c>
      <c r="V86" s="336">
        <f t="shared" si="9"/>
        <v>391988.93881742668</v>
      </c>
      <c r="W86" s="180"/>
      <c r="X86" s="180"/>
      <c r="Y86" s="180"/>
      <c r="Z86" s="15"/>
    </row>
    <row r="87" spans="1:26" x14ac:dyDescent="0.25">
      <c r="A87" s="111">
        <f>Données!A87</f>
        <v>5537</v>
      </c>
      <c r="B87" s="119" t="str">
        <f>Données!B87</f>
        <v>Villars-le-Terroir</v>
      </c>
      <c r="C87" s="307">
        <f>Ressources!H87</f>
        <v>-1475625.4464332594</v>
      </c>
      <c r="D87" s="307">
        <f>Ressources!L87</f>
        <v>0</v>
      </c>
      <c r="E87" s="335">
        <f>Ressources!T87</f>
        <v>-226195.33861430921</v>
      </c>
      <c r="F87" s="308">
        <f t="shared" si="5"/>
        <v>-1701820.7850475686</v>
      </c>
      <c r="G87" s="307">
        <f>'Besoins structurels'!I87</f>
        <v>0</v>
      </c>
      <c r="H87" s="307">
        <f>'Besoins structurels'!N87</f>
        <v>0</v>
      </c>
      <c r="I87" s="307">
        <f>'Besoins structurels'!V87</f>
        <v>-115431</v>
      </c>
      <c r="J87" s="309">
        <f t="shared" si="6"/>
        <v>-115431</v>
      </c>
      <c r="K87" s="307">
        <f>'Charges des villes'!N87</f>
        <v>539265.42255337338</v>
      </c>
      <c r="L87" s="307">
        <f>'Charges des villes'!U87</f>
        <v>134943.07913379374</v>
      </c>
      <c r="M87" s="302">
        <f t="shared" si="7"/>
        <v>674208.5016871671</v>
      </c>
      <c r="N87" s="308">
        <f>-VLOOKUP(A87,Paramètres!$B$23:$C$322,2,FALSE)*$N$5</f>
        <v>0</v>
      </c>
      <c r="O87" s="322"/>
      <c r="P87" s="602">
        <f t="shared" si="8"/>
        <v>-1143043.2833604016</v>
      </c>
      <c r="Q87" s="603"/>
      <c r="R87" s="603"/>
      <c r="S87" s="604"/>
      <c r="T87" s="308">
        <f>PCS!D87</f>
        <v>1298814.9778252447</v>
      </c>
      <c r="U87" s="303">
        <f>Police!U87</f>
        <v>201581.39173922903</v>
      </c>
      <c r="V87" s="336">
        <f t="shared" si="9"/>
        <v>357353.08620407205</v>
      </c>
      <c r="W87" s="180"/>
      <c r="X87" s="180"/>
      <c r="Y87" s="180"/>
      <c r="Z87" s="15"/>
    </row>
    <row r="88" spans="1:26" x14ac:dyDescent="0.25">
      <c r="A88" s="111">
        <f>Données!A88</f>
        <v>5539</v>
      </c>
      <c r="B88" s="119" t="str">
        <f>Données!B88</f>
        <v>Vuarrens</v>
      </c>
      <c r="C88" s="307">
        <f>Ressources!H88</f>
        <v>-1039999.2512725982</v>
      </c>
      <c r="D88" s="307">
        <f>Ressources!L88</f>
        <v>0</v>
      </c>
      <c r="E88" s="335">
        <f>Ressources!T88</f>
        <v>-175245.88947355779</v>
      </c>
      <c r="F88" s="308">
        <f t="shared" si="5"/>
        <v>-1215245.140746156</v>
      </c>
      <c r="G88" s="307">
        <f>'Besoins structurels'!I88</f>
        <v>-4694</v>
      </c>
      <c r="H88" s="307">
        <f>'Besoins structurels'!N88</f>
        <v>0</v>
      </c>
      <c r="I88" s="307">
        <f>'Besoins structurels'!V88</f>
        <v>-197104</v>
      </c>
      <c r="J88" s="309">
        <f t="shared" si="6"/>
        <v>-201798</v>
      </c>
      <c r="K88" s="307">
        <f>'Charges des villes'!N88</f>
        <v>489672.2201734634</v>
      </c>
      <c r="L88" s="307">
        <f>'Charges des villes'!U88</f>
        <v>112587.44158614126</v>
      </c>
      <c r="M88" s="302">
        <f t="shared" si="7"/>
        <v>602259.6617596047</v>
      </c>
      <c r="N88" s="308">
        <f>-VLOOKUP(A88,Paramètres!$B$23:$C$322,2,FALSE)*$N$5</f>
        <v>0</v>
      </c>
      <c r="O88" s="322"/>
      <c r="P88" s="602">
        <f t="shared" si="8"/>
        <v>-814783.47898655129</v>
      </c>
      <c r="Q88" s="603"/>
      <c r="R88" s="603"/>
      <c r="S88" s="604"/>
      <c r="T88" s="308">
        <f>PCS!D88</f>
        <v>1083643.9807492485</v>
      </c>
      <c r="U88" s="303">
        <f>Police!U88</f>
        <v>164127.26328062167</v>
      </c>
      <c r="V88" s="336">
        <f t="shared" si="9"/>
        <v>432987.76504331891</v>
      </c>
      <c r="W88" s="180"/>
      <c r="X88" s="180"/>
      <c r="Y88" s="180"/>
      <c r="Z88" s="15"/>
    </row>
    <row r="89" spans="1:26" x14ac:dyDescent="0.25">
      <c r="A89" s="111">
        <f>Données!A89</f>
        <v>5540</v>
      </c>
      <c r="B89" s="119" t="str">
        <f>Données!B89</f>
        <v>Montilliez</v>
      </c>
      <c r="C89" s="307">
        <f>Ressources!H89</f>
        <v>-1582448.0655809958</v>
      </c>
      <c r="D89" s="307">
        <f>Ressources!L89</f>
        <v>0</v>
      </c>
      <c r="E89" s="335">
        <f>Ressources!T89</f>
        <v>-285564.47459382151</v>
      </c>
      <c r="F89" s="308">
        <f t="shared" si="5"/>
        <v>-1868012.5401748172</v>
      </c>
      <c r="G89" s="307">
        <f>'Besoins structurels'!I89</f>
        <v>0</v>
      </c>
      <c r="H89" s="307">
        <f>'Besoins structurels'!N89</f>
        <v>-7225</v>
      </c>
      <c r="I89" s="307">
        <f>'Besoins structurels'!V89</f>
        <v>0</v>
      </c>
      <c r="J89" s="309">
        <f t="shared" si="6"/>
        <v>-7225</v>
      </c>
      <c r="K89" s="307">
        <f>'Charges des villes'!N89</f>
        <v>656404.11776745948</v>
      </c>
      <c r="L89" s="307">
        <f>'Charges des villes'!U89</f>
        <v>187746.89270788696</v>
      </c>
      <c r="M89" s="302">
        <f t="shared" si="7"/>
        <v>844151.01047534647</v>
      </c>
      <c r="N89" s="308">
        <f>-VLOOKUP(A89,Paramètres!$B$23:$C$322,2,FALSE)*$N$5</f>
        <v>-97100</v>
      </c>
      <c r="O89" s="322"/>
      <c r="P89" s="602">
        <f t="shared" si="8"/>
        <v>-1128186.5296994708</v>
      </c>
      <c r="Q89" s="603"/>
      <c r="R89" s="603"/>
      <c r="S89" s="604"/>
      <c r="T89" s="308">
        <f>PCS!D89</f>
        <v>1807046.9256699057</v>
      </c>
      <c r="U89" s="303">
        <f>Police!U89</f>
        <v>290047.70420707075</v>
      </c>
      <c r="V89" s="336">
        <f t="shared" si="9"/>
        <v>968908.10017750564</v>
      </c>
      <c r="W89" s="180"/>
      <c r="X89" s="180"/>
      <c r="Y89" s="180"/>
      <c r="Z89" s="15"/>
    </row>
    <row r="90" spans="1:26" x14ac:dyDescent="0.25">
      <c r="A90" s="111">
        <f>Données!A90</f>
        <v>5541</v>
      </c>
      <c r="B90" s="119" t="str">
        <f>Données!B90</f>
        <v>Goumoëns</v>
      </c>
      <c r="C90" s="307">
        <f>Ressources!H90</f>
        <v>-1237839.5193847758</v>
      </c>
      <c r="D90" s="307">
        <f>Ressources!L90</f>
        <v>0</v>
      </c>
      <c r="E90" s="335">
        <f>Ressources!T90</f>
        <v>-197633.55950262427</v>
      </c>
      <c r="F90" s="308">
        <f t="shared" si="5"/>
        <v>-1435473.0788874</v>
      </c>
      <c r="G90" s="307">
        <f>'Besoins structurels'!I90</f>
        <v>-11357</v>
      </c>
      <c r="H90" s="307">
        <f>'Besoins structurels'!N90</f>
        <v>0</v>
      </c>
      <c r="I90" s="307">
        <f>'Besoins structurels'!V90</f>
        <v>-292663</v>
      </c>
      <c r="J90" s="309">
        <f t="shared" si="6"/>
        <v>-304020</v>
      </c>
      <c r="K90" s="307">
        <f>'Charges des villes'!N90</f>
        <v>520639.92120707233</v>
      </c>
      <c r="L90" s="307">
        <f>'Charges des villes'!U90</f>
        <v>126547.07046205096</v>
      </c>
      <c r="M90" s="302">
        <f t="shared" si="7"/>
        <v>647186.99166912329</v>
      </c>
      <c r="N90" s="308">
        <f>-VLOOKUP(A90,Paramètres!$B$23:$C$322,2,FALSE)*$N$5</f>
        <v>0</v>
      </c>
      <c r="O90" s="322"/>
      <c r="P90" s="602">
        <f t="shared" si="8"/>
        <v>-1092306.0872182767</v>
      </c>
      <c r="Q90" s="603"/>
      <c r="R90" s="603"/>
      <c r="S90" s="604"/>
      <c r="T90" s="308">
        <f>PCS!D90</f>
        <v>1218004.1508691013</v>
      </c>
      <c r="U90" s="303">
        <f>Police!U90</f>
        <v>187514.90910545341</v>
      </c>
      <c r="V90" s="336">
        <f t="shared" si="9"/>
        <v>313212.972756278</v>
      </c>
      <c r="W90" s="180"/>
      <c r="X90" s="180"/>
      <c r="Y90" s="180"/>
      <c r="Z90" s="15"/>
    </row>
    <row r="91" spans="1:26" x14ac:dyDescent="0.25">
      <c r="A91" s="111">
        <f>Données!A91</f>
        <v>5551</v>
      </c>
      <c r="B91" s="119" t="str">
        <f>Données!B91</f>
        <v>Bonvillars</v>
      </c>
      <c r="C91" s="307">
        <f>Ressources!H91</f>
        <v>-250927.08508994622</v>
      </c>
      <c r="D91" s="307">
        <f>Ressources!L91</f>
        <v>0</v>
      </c>
      <c r="E91" s="335">
        <f>Ressources!T91</f>
        <v>159286.60637661337</v>
      </c>
      <c r="F91" s="308">
        <f t="shared" si="5"/>
        <v>-91640.47871333285</v>
      </c>
      <c r="G91" s="307">
        <f>'Besoins structurels'!I91</f>
        <v>-36862</v>
      </c>
      <c r="H91" s="307">
        <f>'Besoins structurels'!N91</f>
        <v>-2091</v>
      </c>
      <c r="I91" s="307">
        <f>'Besoins structurels'!V91</f>
        <v>0</v>
      </c>
      <c r="J91" s="309">
        <f t="shared" si="6"/>
        <v>-38953</v>
      </c>
      <c r="K91" s="307">
        <f>'Charges des villes'!N91</f>
        <v>240050.65332182206</v>
      </c>
      <c r="L91" s="307">
        <f>'Charges des villes'!U91</f>
        <v>52298.029919168941</v>
      </c>
      <c r="M91" s="302">
        <f t="shared" si="7"/>
        <v>292348.68324099097</v>
      </c>
      <c r="N91" s="308">
        <f>-VLOOKUP(A91,Paramètres!$B$23:$C$322,2,FALSE)*$N$5</f>
        <v>0</v>
      </c>
      <c r="O91" s="322"/>
      <c r="P91" s="602">
        <f t="shared" si="8"/>
        <v>161755.20452765812</v>
      </c>
      <c r="Q91" s="603"/>
      <c r="R91" s="603"/>
      <c r="S91" s="604"/>
      <c r="T91" s="308">
        <f>PCS!D91</f>
        <v>503363.8257388692</v>
      </c>
      <c r="U91" s="303">
        <f>Police!U91</f>
        <v>74952.855574541594</v>
      </c>
      <c r="V91" s="336">
        <f t="shared" si="9"/>
        <v>740071.88584106893</v>
      </c>
      <c r="W91" s="180"/>
      <c r="X91" s="180"/>
      <c r="Y91" s="180"/>
      <c r="Z91" s="15"/>
    </row>
    <row r="92" spans="1:26" x14ac:dyDescent="0.25">
      <c r="A92" s="111">
        <f>Données!A92</f>
        <v>5552</v>
      </c>
      <c r="B92" s="119" t="str">
        <f>Données!B92</f>
        <v>Bullet</v>
      </c>
      <c r="C92" s="307">
        <f>Ressources!H92</f>
        <v>-797036.38721935614</v>
      </c>
      <c r="D92" s="307">
        <f>Ressources!L92</f>
        <v>0</v>
      </c>
      <c r="E92" s="335">
        <f>Ressources!T92</f>
        <v>-12750.313731656963</v>
      </c>
      <c r="F92" s="308">
        <f t="shared" si="5"/>
        <v>-809786.70095101313</v>
      </c>
      <c r="G92" s="307">
        <f>'Besoins structurels'!I92</f>
        <v>-123233</v>
      </c>
      <c r="H92" s="307">
        <f>'Besoins structurels'!N92</f>
        <v>-67686</v>
      </c>
      <c r="I92" s="307">
        <f>'Besoins structurels'!V92</f>
        <v>0</v>
      </c>
      <c r="J92" s="309">
        <f t="shared" si="6"/>
        <v>-190919</v>
      </c>
      <c r="K92" s="307">
        <f>'Charges des villes'!N92</f>
        <v>318984.13700598024</v>
      </c>
      <c r="L92" s="307">
        <f>'Charges des villes'!U92</f>
        <v>69494.674186593926</v>
      </c>
      <c r="M92" s="302">
        <f t="shared" si="7"/>
        <v>388478.81119257415</v>
      </c>
      <c r="N92" s="308">
        <f>-VLOOKUP(A92,Paramètres!$B$23:$C$322,2,FALSE)*$N$5</f>
        <v>0</v>
      </c>
      <c r="O92" s="322"/>
      <c r="P92" s="602">
        <f t="shared" si="8"/>
        <v>-612226.88975843904</v>
      </c>
      <c r="Q92" s="603"/>
      <c r="R92" s="603"/>
      <c r="S92" s="604"/>
      <c r="T92" s="308">
        <f>PCS!D92</f>
        <v>668879.97733578947</v>
      </c>
      <c r="U92" s="303">
        <f>Police!U92</f>
        <v>99598.862243152951</v>
      </c>
      <c r="V92" s="336">
        <f t="shared" si="9"/>
        <v>156251.94982050339</v>
      </c>
      <c r="W92" s="180"/>
      <c r="X92" s="180"/>
      <c r="Y92" s="180"/>
      <c r="Z92" s="15"/>
    </row>
    <row r="93" spans="1:26" x14ac:dyDescent="0.25">
      <c r="A93" s="111">
        <f>Données!A93</f>
        <v>5553</v>
      </c>
      <c r="B93" s="119" t="str">
        <f>Données!B93</f>
        <v>Champagne</v>
      </c>
      <c r="C93" s="307">
        <f>Ressources!H93</f>
        <v>-673747.52362437418</v>
      </c>
      <c r="D93" s="307">
        <f>Ressources!L93</f>
        <v>0</v>
      </c>
      <c r="E93" s="335">
        <f>Ressources!T93</f>
        <v>-171168.46222170474</v>
      </c>
      <c r="F93" s="308">
        <f t="shared" si="5"/>
        <v>-844915.98584607895</v>
      </c>
      <c r="G93" s="307">
        <f>'Besoins structurels'!I93</f>
        <v>0</v>
      </c>
      <c r="H93" s="307">
        <f>'Besoins structurels'!N93</f>
        <v>0</v>
      </c>
      <c r="I93" s="307">
        <f>'Besoins structurels'!V93</f>
        <v>0</v>
      </c>
      <c r="J93" s="309">
        <f t="shared" si="6"/>
        <v>0</v>
      </c>
      <c r="K93" s="307">
        <f>'Charges des villes'!N93</f>
        <v>483837.72577582684</v>
      </c>
      <c r="L93" s="307">
        <f>'Charges des villes'!U93</f>
        <v>109957.36658053509</v>
      </c>
      <c r="M93" s="302">
        <f t="shared" si="7"/>
        <v>593795.09235636191</v>
      </c>
      <c r="N93" s="308">
        <f>-VLOOKUP(A93,Paramètres!$B$23:$C$322,2,FALSE)*$N$5</f>
        <v>-56900</v>
      </c>
      <c r="O93" s="322"/>
      <c r="P93" s="602">
        <f t="shared" si="8"/>
        <v>-308020.89348971704</v>
      </c>
      <c r="Q93" s="603"/>
      <c r="R93" s="603"/>
      <c r="S93" s="604"/>
      <c r="T93" s="308">
        <f>PCS!D93</f>
        <v>1058329.7457991312</v>
      </c>
      <c r="U93" s="303">
        <f>Police!U93</f>
        <v>159720.89522666787</v>
      </c>
      <c r="V93" s="336">
        <f t="shared" si="9"/>
        <v>910029.74753608205</v>
      </c>
      <c r="W93" s="180"/>
      <c r="X93" s="180"/>
      <c r="Y93" s="180"/>
      <c r="Z93" s="15"/>
    </row>
    <row r="94" spans="1:26" x14ac:dyDescent="0.25">
      <c r="A94" s="111">
        <f>Données!A94</f>
        <v>5554</v>
      </c>
      <c r="B94" s="119" t="str">
        <f>Données!B94</f>
        <v>Concise</v>
      </c>
      <c r="C94" s="307">
        <f>Ressources!H94</f>
        <v>-999595.67883775348</v>
      </c>
      <c r="D94" s="307">
        <f>Ressources!L94</f>
        <v>0</v>
      </c>
      <c r="E94" s="335">
        <f>Ressources!T94</f>
        <v>-108083.68271799848</v>
      </c>
      <c r="F94" s="308">
        <f t="shared" si="5"/>
        <v>-1107679.3615557519</v>
      </c>
      <c r="G94" s="307">
        <f>'Besoins structurels'!I94</f>
        <v>-36750</v>
      </c>
      <c r="H94" s="307">
        <f>'Besoins structurels'!N94</f>
        <v>-147</v>
      </c>
      <c r="I94" s="307">
        <f>'Besoins structurels'!V94</f>
        <v>0</v>
      </c>
      <c r="J94" s="309">
        <f t="shared" si="6"/>
        <v>-36897</v>
      </c>
      <c r="K94" s="307">
        <f>'Charges des villes'!N94</f>
        <v>472168.73698055395</v>
      </c>
      <c r="L94" s="307">
        <f>'Charges des villes'!U94</f>
        <v>104697.21656932273</v>
      </c>
      <c r="M94" s="302">
        <f t="shared" si="7"/>
        <v>576865.95354987669</v>
      </c>
      <c r="N94" s="308">
        <f>-VLOOKUP(A94,Paramètres!$B$23:$C$322,2,FALSE)*$N$5</f>
        <v>-24600</v>
      </c>
      <c r="O94" s="322"/>
      <c r="P94" s="602">
        <f t="shared" si="8"/>
        <v>-592310.40800587519</v>
      </c>
      <c r="Q94" s="603"/>
      <c r="R94" s="603"/>
      <c r="S94" s="604"/>
      <c r="T94" s="308">
        <f>PCS!D94</f>
        <v>1007701.2758988967</v>
      </c>
      <c r="U94" s="303">
        <f>Police!U94</f>
        <v>150908.15911876026</v>
      </c>
      <c r="V94" s="336">
        <f t="shared" si="9"/>
        <v>566299.02701178181</v>
      </c>
      <c r="W94" s="180"/>
      <c r="X94" s="180"/>
      <c r="Y94" s="180"/>
      <c r="Z94" s="15"/>
    </row>
    <row r="95" spans="1:26" x14ac:dyDescent="0.25">
      <c r="A95" s="111">
        <f>Données!A95</f>
        <v>5555</v>
      </c>
      <c r="B95" s="119" t="str">
        <f>Données!B95</f>
        <v>Corcelles-près-Concise</v>
      </c>
      <c r="C95" s="307">
        <f>Ressources!H95</f>
        <v>-374747.50068457733</v>
      </c>
      <c r="D95" s="307">
        <f>Ressources!L95</f>
        <v>0</v>
      </c>
      <c r="E95" s="335">
        <f>Ressources!T95</f>
        <v>-86736.471867827393</v>
      </c>
      <c r="F95" s="308">
        <f t="shared" si="5"/>
        <v>-461483.97255240474</v>
      </c>
      <c r="G95" s="307">
        <f>'Besoins structurels'!I95</f>
        <v>-7395</v>
      </c>
      <c r="H95" s="307">
        <f>'Besoins structurels'!N95</f>
        <v>0</v>
      </c>
      <c r="I95" s="307">
        <f>'Besoins structurels'!V95</f>
        <v>0</v>
      </c>
      <c r="J95" s="309">
        <f t="shared" si="6"/>
        <v>-7395</v>
      </c>
      <c r="K95" s="307">
        <f>'Charges des villes'!N95</f>
        <v>203834.1137490907</v>
      </c>
      <c r="L95" s="307">
        <f>'Charges des villes'!U95</f>
        <v>44407.804902350414</v>
      </c>
      <c r="M95" s="302">
        <f t="shared" si="7"/>
        <v>248241.91865144111</v>
      </c>
      <c r="N95" s="308">
        <f>-VLOOKUP(A95,Paramètres!$B$23:$C$322,2,FALSE)*$N$5</f>
        <v>-68700</v>
      </c>
      <c r="O95" s="322"/>
      <c r="P95" s="602">
        <f t="shared" si="8"/>
        <v>-289337.05390096363</v>
      </c>
      <c r="Q95" s="603"/>
      <c r="R95" s="603"/>
      <c r="S95" s="604"/>
      <c r="T95" s="308">
        <f>PCS!D95</f>
        <v>427421.12088851759</v>
      </c>
      <c r="U95" s="303">
        <f>Police!U95</f>
        <v>63644.687808943447</v>
      </c>
      <c r="V95" s="336">
        <f t="shared" si="9"/>
        <v>201728.75479649741</v>
      </c>
      <c r="W95" s="180"/>
      <c r="X95" s="180"/>
      <c r="Y95" s="180"/>
      <c r="Z95" s="15"/>
    </row>
    <row r="96" spans="1:26" x14ac:dyDescent="0.25">
      <c r="A96" s="111">
        <f>Données!A96</f>
        <v>5556</v>
      </c>
      <c r="B96" s="119" t="str">
        <f>Données!B96</f>
        <v>Fiez</v>
      </c>
      <c r="C96" s="307">
        <f>Ressources!H96</f>
        <v>-392688.51451888419</v>
      </c>
      <c r="D96" s="307">
        <f>Ressources!L96</f>
        <v>0</v>
      </c>
      <c r="E96" s="335">
        <f>Ressources!T96</f>
        <v>-85271.298385775241</v>
      </c>
      <c r="F96" s="308">
        <f t="shared" si="5"/>
        <v>-477959.81290465943</v>
      </c>
      <c r="G96" s="307">
        <f>'Besoins structurels'!I96</f>
        <v>-38078</v>
      </c>
      <c r="H96" s="307">
        <f>'Besoins structurels'!N96</f>
        <v>0</v>
      </c>
      <c r="I96" s="307">
        <f>'Besoins structurels'!V96</f>
        <v>-17962</v>
      </c>
      <c r="J96" s="309">
        <f t="shared" si="6"/>
        <v>-56040</v>
      </c>
      <c r="K96" s="307">
        <f>'Charges des villes'!N96</f>
        <v>195476.4507707681</v>
      </c>
      <c r="L96" s="307">
        <f>'Charges des villes'!U96</f>
        <v>42586.983744623067</v>
      </c>
      <c r="M96" s="302">
        <f t="shared" si="7"/>
        <v>238063.43451539119</v>
      </c>
      <c r="N96" s="308">
        <f>-VLOOKUP(A96,Paramètres!$B$23:$C$322,2,FALSE)*$N$5</f>
        <v>0</v>
      </c>
      <c r="O96" s="322"/>
      <c r="P96" s="602">
        <f t="shared" si="8"/>
        <v>-295936.37838926824</v>
      </c>
      <c r="Q96" s="603"/>
      <c r="R96" s="603"/>
      <c r="S96" s="604"/>
      <c r="T96" s="308">
        <f>PCS!D96</f>
        <v>409895.88130766718</v>
      </c>
      <c r="U96" s="303">
        <f>Police!U96</f>
        <v>61035.110632266944</v>
      </c>
      <c r="V96" s="336">
        <f t="shared" si="9"/>
        <v>174994.61355066588</v>
      </c>
      <c r="W96" s="180"/>
      <c r="X96" s="180"/>
      <c r="Y96" s="180"/>
      <c r="Z96" s="15"/>
    </row>
    <row r="97" spans="1:26" x14ac:dyDescent="0.25">
      <c r="A97" s="111">
        <f>Données!A97</f>
        <v>5557</v>
      </c>
      <c r="B97" s="119" t="str">
        <f>Données!B97</f>
        <v>Fontaines-sur-Grandson</v>
      </c>
      <c r="C97" s="307">
        <f>Ressources!H97</f>
        <v>-287354.32925335813</v>
      </c>
      <c r="D97" s="307">
        <f>Ressources!L97</f>
        <v>0</v>
      </c>
      <c r="E97" s="335">
        <f>Ressources!T97</f>
        <v>-53710.282439327209</v>
      </c>
      <c r="F97" s="308">
        <f t="shared" si="5"/>
        <v>-341064.61169268534</v>
      </c>
      <c r="G97" s="307">
        <f>'Besoins structurels'!I97</f>
        <v>-65648</v>
      </c>
      <c r="H97" s="307">
        <f>'Besoins structurels'!N97</f>
        <v>-523</v>
      </c>
      <c r="I97" s="307">
        <f>'Besoins structurels'!V97</f>
        <v>0</v>
      </c>
      <c r="J97" s="309">
        <f t="shared" si="6"/>
        <v>-66171</v>
      </c>
      <c r="K97" s="307">
        <f>'Charges des villes'!N97</f>
        <v>105863.73105875326</v>
      </c>
      <c r="L97" s="307">
        <f>'Charges des villes'!U97</f>
        <v>23063.734664546457</v>
      </c>
      <c r="M97" s="302">
        <f t="shared" si="7"/>
        <v>128927.46572329971</v>
      </c>
      <c r="N97" s="308">
        <f>-VLOOKUP(A97,Paramètres!$B$23:$C$322,2,FALSE)*$N$5</f>
        <v>0</v>
      </c>
      <c r="O97" s="322"/>
      <c r="P97" s="602">
        <f t="shared" si="8"/>
        <v>-278308.14596938563</v>
      </c>
      <c r="Q97" s="603"/>
      <c r="R97" s="603"/>
      <c r="S97" s="604"/>
      <c r="T97" s="308">
        <f>PCS!D97</f>
        <v>221986.3680241048</v>
      </c>
      <c r="U97" s="303">
        <f>Police!U97</f>
        <v>33054.644237902292</v>
      </c>
      <c r="V97" s="336">
        <f t="shared" si="9"/>
        <v>-23267.13370737854</v>
      </c>
      <c r="W97" s="180"/>
      <c r="X97" s="180"/>
      <c r="Y97" s="180"/>
      <c r="Z97" s="15"/>
    </row>
    <row r="98" spans="1:26" x14ac:dyDescent="0.25">
      <c r="A98" s="111">
        <f>Données!A98</f>
        <v>5559</v>
      </c>
      <c r="B98" s="119" t="str">
        <f>Données!B98</f>
        <v>Giez</v>
      </c>
      <c r="C98" s="307">
        <f>Ressources!H98</f>
        <v>-18141.14577301839</v>
      </c>
      <c r="D98" s="307">
        <f>Ressources!L98</f>
        <v>0</v>
      </c>
      <c r="E98" s="335">
        <f>Ressources!T98</f>
        <v>-45356.053648455374</v>
      </c>
      <c r="F98" s="308">
        <f t="shared" si="5"/>
        <v>-63497.199421473764</v>
      </c>
      <c r="G98" s="307">
        <f>'Besoins structurels'!I98</f>
        <v>-12607</v>
      </c>
      <c r="H98" s="307">
        <f>'Besoins structurels'!N98</f>
        <v>0</v>
      </c>
      <c r="I98" s="307">
        <f>'Besoins structurels'!V98</f>
        <v>0</v>
      </c>
      <c r="J98" s="309">
        <f t="shared" si="6"/>
        <v>-12607</v>
      </c>
      <c r="K98" s="307">
        <f>'Charges des villes'!N98</f>
        <v>215441.978996761</v>
      </c>
      <c r="L98" s="307">
        <f>'Charges des villes'!U98</f>
        <v>46936.72317697174</v>
      </c>
      <c r="M98" s="302">
        <f t="shared" si="7"/>
        <v>262378.70217373274</v>
      </c>
      <c r="N98" s="308">
        <f>-VLOOKUP(A98,Paramètres!$B$23:$C$322,2,FALSE)*$N$5</f>
        <v>0</v>
      </c>
      <c r="O98" s="322"/>
      <c r="P98" s="602">
        <f t="shared" si="8"/>
        <v>186274.50275225897</v>
      </c>
      <c r="Q98" s="603"/>
      <c r="R98" s="603"/>
      <c r="S98" s="604"/>
      <c r="T98" s="308">
        <f>PCS!D98</f>
        <v>451761.73141747643</v>
      </c>
      <c r="U98" s="303">
        <f>Police!U98</f>
        <v>67269.100554327466</v>
      </c>
      <c r="V98" s="336">
        <f t="shared" si="9"/>
        <v>705305.33472406282</v>
      </c>
      <c r="W98" s="180"/>
      <c r="X98" s="180"/>
      <c r="Y98" s="180"/>
      <c r="Z98" s="15"/>
    </row>
    <row r="99" spans="1:26" x14ac:dyDescent="0.25">
      <c r="A99" s="111">
        <f>Données!A99</f>
        <v>5560</v>
      </c>
      <c r="B99" s="119" t="str">
        <f>Données!B99</f>
        <v>Grandevent</v>
      </c>
      <c r="C99" s="307">
        <f>Ressources!H99</f>
        <v>-304059.34325446322</v>
      </c>
      <c r="D99" s="307">
        <f>Ressources!L99</f>
        <v>0</v>
      </c>
      <c r="E99" s="335">
        <f>Ressources!T99</f>
        <v>-51622.713565253754</v>
      </c>
      <c r="F99" s="308">
        <f t="shared" si="5"/>
        <v>-355682.05681971699</v>
      </c>
      <c r="G99" s="307">
        <f>'Besoins structurels'!I99</f>
        <v>-17246</v>
      </c>
      <c r="H99" s="307">
        <f>'Besoins structurels'!N99</f>
        <v>0</v>
      </c>
      <c r="I99" s="307">
        <f>'Besoins structurels'!V99</f>
        <v>0</v>
      </c>
      <c r="J99" s="309">
        <f t="shared" si="6"/>
        <v>-17246</v>
      </c>
      <c r="K99" s="307">
        <f>'Charges des villes'!N99</f>
        <v>111899.82098754181</v>
      </c>
      <c r="L99" s="307">
        <f>'Charges des villes'!U99</f>
        <v>24378.772167349547</v>
      </c>
      <c r="M99" s="302">
        <f t="shared" si="7"/>
        <v>136278.59315489136</v>
      </c>
      <c r="N99" s="308">
        <f>-VLOOKUP(A99,Paramètres!$B$23:$C$322,2,FALSE)*$N$5</f>
        <v>0</v>
      </c>
      <c r="O99" s="322"/>
      <c r="P99" s="602">
        <f t="shared" si="8"/>
        <v>-236649.46366482563</v>
      </c>
      <c r="Q99" s="603"/>
      <c r="R99" s="603"/>
      <c r="S99" s="604"/>
      <c r="T99" s="308">
        <f>PCS!D99</f>
        <v>234643.48549916339</v>
      </c>
      <c r="U99" s="303">
        <f>Police!U99</f>
        <v>34939.338865501981</v>
      </c>
      <c r="V99" s="336">
        <f t="shared" si="9"/>
        <v>32933.360699839744</v>
      </c>
      <c r="W99" s="180"/>
      <c r="X99" s="180"/>
      <c r="Y99" s="180"/>
      <c r="Z99" s="15"/>
    </row>
    <row r="100" spans="1:26" x14ac:dyDescent="0.25">
      <c r="A100" s="111">
        <f>Données!A100</f>
        <v>5561</v>
      </c>
      <c r="B100" s="119" t="str">
        <f>Données!B100</f>
        <v>Grandson</v>
      </c>
      <c r="C100" s="307">
        <f>Ressources!H100</f>
        <v>-2147639.913009712</v>
      </c>
      <c r="D100" s="307">
        <f>Ressources!L100</f>
        <v>0</v>
      </c>
      <c r="E100" s="335">
        <f>Ressources!T100</f>
        <v>-299486.39292437979</v>
      </c>
      <c r="F100" s="308">
        <f t="shared" si="5"/>
        <v>-2447126.305934092</v>
      </c>
      <c r="G100" s="307">
        <f>'Besoins structurels'!I100</f>
        <v>0</v>
      </c>
      <c r="H100" s="307">
        <f>'Besoins structurels'!N100</f>
        <v>0</v>
      </c>
      <c r="I100" s="307">
        <f>'Besoins structurels'!V100</f>
        <v>0</v>
      </c>
      <c r="J100" s="309">
        <f t="shared" si="6"/>
        <v>0</v>
      </c>
      <c r="K100" s="307">
        <f>'Charges des villes'!N100</f>
        <v>886212.8995629428</v>
      </c>
      <c r="L100" s="307">
        <f>'Charges des villes'!U100</f>
        <v>343022.47476963612</v>
      </c>
      <c r="M100" s="302">
        <f t="shared" si="7"/>
        <v>1229235.3743325789</v>
      </c>
      <c r="N100" s="308">
        <f>-VLOOKUP(A100,Paramètres!$B$23:$C$322,2,FALSE)*$N$5</f>
        <v>-407600</v>
      </c>
      <c r="O100" s="322"/>
      <c r="P100" s="602">
        <f t="shared" si="8"/>
        <v>-1625490.9316015132</v>
      </c>
      <c r="Q100" s="603"/>
      <c r="R100" s="603"/>
      <c r="S100" s="604"/>
      <c r="T100" s="308">
        <f>PCS!D100</f>
        <v>3301560.4121479797</v>
      </c>
      <c r="U100" s="303">
        <f>Police!U100</f>
        <v>554982.48566766991</v>
      </c>
      <c r="V100" s="336">
        <f t="shared" si="9"/>
        <v>2231051.9662141362</v>
      </c>
      <c r="W100" s="180"/>
      <c r="X100" s="180"/>
      <c r="Y100" s="180"/>
      <c r="Z100" s="15"/>
    </row>
    <row r="101" spans="1:26" x14ac:dyDescent="0.25">
      <c r="A101" s="111">
        <f>Données!A101</f>
        <v>5562</v>
      </c>
      <c r="B101" s="119" t="str">
        <f>Données!B101</f>
        <v>Mauborget</v>
      </c>
      <c r="C101" s="307">
        <f>Ressources!H101</f>
        <v>-60029.88511209016</v>
      </c>
      <c r="D101" s="307">
        <f>Ressources!L101</f>
        <v>0</v>
      </c>
      <c r="E101" s="335">
        <f>Ressources!T101</f>
        <v>-16488.939557841353</v>
      </c>
      <c r="F101" s="308">
        <f t="shared" si="5"/>
        <v>-76518.82466993152</v>
      </c>
      <c r="G101" s="307">
        <f>'Besoins structurels'!I101</f>
        <v>-47583</v>
      </c>
      <c r="H101" s="307">
        <f>'Besoins structurels'!N101</f>
        <v>-24183</v>
      </c>
      <c r="I101" s="307">
        <f>'Besoins structurels'!V101</f>
        <v>0</v>
      </c>
      <c r="J101" s="309">
        <f t="shared" si="6"/>
        <v>-71766</v>
      </c>
      <c r="K101" s="307">
        <f>'Charges des villes'!N101</f>
        <v>63611.101557233327</v>
      </c>
      <c r="L101" s="307">
        <f>'Charges des villes'!U101</f>
        <v>13858.472144924845</v>
      </c>
      <c r="M101" s="302">
        <f t="shared" si="7"/>
        <v>77469.573702158174</v>
      </c>
      <c r="N101" s="308">
        <f>-VLOOKUP(A101,Paramètres!$B$23:$C$322,2,FALSE)*$N$5</f>
        <v>0</v>
      </c>
      <c r="O101" s="322"/>
      <c r="P101" s="602">
        <f t="shared" si="8"/>
        <v>-70815.250967773347</v>
      </c>
      <c r="Q101" s="603"/>
      <c r="R101" s="603"/>
      <c r="S101" s="604"/>
      <c r="T101" s="308">
        <f>PCS!D101</f>
        <v>133386.54569869454</v>
      </c>
      <c r="U101" s="303">
        <f>Police!U101</f>
        <v>19861.781844704445</v>
      </c>
      <c r="V101" s="336">
        <f t="shared" si="9"/>
        <v>82433.07657562563</v>
      </c>
      <c r="W101" s="180"/>
      <c r="X101" s="180"/>
      <c r="Y101" s="180"/>
      <c r="Z101" s="15"/>
    </row>
    <row r="102" spans="1:26" x14ac:dyDescent="0.25">
      <c r="A102" s="111">
        <f>Données!A102</f>
        <v>5563</v>
      </c>
      <c r="B102" s="119" t="str">
        <f>Données!B102</f>
        <v>Mutrux</v>
      </c>
      <c r="C102" s="307">
        <f>Ressources!H102</f>
        <v>-176923.04772103904</v>
      </c>
      <c r="D102" s="307">
        <f>Ressources!L102</f>
        <v>0</v>
      </c>
      <c r="E102" s="335">
        <f>Ressources!T102</f>
        <v>-34139.77502906647</v>
      </c>
      <c r="F102" s="308">
        <f t="shared" si="5"/>
        <v>-211062.82275010552</v>
      </c>
      <c r="G102" s="307">
        <f>'Besoins structurels'!I102</f>
        <v>-22870</v>
      </c>
      <c r="H102" s="307">
        <f>'Besoins structurels'!N102</f>
        <v>-19747</v>
      </c>
      <c r="I102" s="307">
        <f>'Besoins structurels'!V102</f>
        <v>-8125</v>
      </c>
      <c r="J102" s="309">
        <f t="shared" si="6"/>
        <v>-50742</v>
      </c>
      <c r="K102" s="307">
        <f>'Charges des villes'!N102</f>
        <v>64075.416167140123</v>
      </c>
      <c r="L102" s="307">
        <f>'Charges des villes'!U102</f>
        <v>13959.628875909699</v>
      </c>
      <c r="M102" s="302">
        <f t="shared" si="7"/>
        <v>78035.045043049817</v>
      </c>
      <c r="N102" s="308">
        <f>-VLOOKUP(A102,Paramètres!$B$23:$C$322,2,FALSE)*$N$5</f>
        <v>0</v>
      </c>
      <c r="O102" s="322"/>
      <c r="P102" s="602">
        <f t="shared" si="8"/>
        <v>-183769.77770705571</v>
      </c>
      <c r="Q102" s="603"/>
      <c r="R102" s="603"/>
      <c r="S102" s="604"/>
      <c r="T102" s="308">
        <f>PCS!D102</f>
        <v>134360.1701198529</v>
      </c>
      <c r="U102" s="303">
        <f>Police!U102</f>
        <v>20006.758354519807</v>
      </c>
      <c r="V102" s="336">
        <f t="shared" si="9"/>
        <v>-29402.849232682995</v>
      </c>
      <c r="W102" s="180"/>
      <c r="X102" s="180"/>
      <c r="Y102" s="180"/>
      <c r="Z102" s="15"/>
    </row>
    <row r="103" spans="1:26" x14ac:dyDescent="0.25">
      <c r="A103" s="111">
        <f>Données!A103</f>
        <v>5564</v>
      </c>
      <c r="B103" s="119" t="str">
        <f>Données!B103</f>
        <v>Novalles</v>
      </c>
      <c r="C103" s="307">
        <f>Ressources!H103</f>
        <v>-157400.44373322537</v>
      </c>
      <c r="D103" s="307">
        <f>Ressources!L103</f>
        <v>-2991</v>
      </c>
      <c r="E103" s="335">
        <f>Ressources!T103</f>
        <v>-12273.124478637532</v>
      </c>
      <c r="F103" s="308">
        <f t="shared" si="5"/>
        <v>-172664.5682118629</v>
      </c>
      <c r="G103" s="307">
        <f>'Besoins structurels'!I103</f>
        <v>-12872</v>
      </c>
      <c r="H103" s="307">
        <f>'Besoins structurels'!N103</f>
        <v>0</v>
      </c>
      <c r="I103" s="307">
        <f>'Besoins structurels'!V103</f>
        <v>-22389</v>
      </c>
      <c r="J103" s="309">
        <f t="shared" si="6"/>
        <v>-35261</v>
      </c>
      <c r="K103" s="307">
        <f>'Charges des villes'!N103</f>
        <v>48753.034040215323</v>
      </c>
      <c r="L103" s="307">
        <f>'Charges des villes'!U103</f>
        <v>10621.456753409553</v>
      </c>
      <c r="M103" s="302">
        <f t="shared" si="7"/>
        <v>59374.490793624878</v>
      </c>
      <c r="N103" s="308">
        <f>-VLOOKUP(A103,Paramètres!$B$23:$C$322,2,FALSE)*$N$5</f>
        <v>0</v>
      </c>
      <c r="O103" s="322"/>
      <c r="P103" s="602">
        <f t="shared" si="8"/>
        <v>-148551.07741823804</v>
      </c>
      <c r="Q103" s="603"/>
      <c r="R103" s="603"/>
      <c r="S103" s="604"/>
      <c r="T103" s="308">
        <f>PCS!D103</f>
        <v>102230.56422162721</v>
      </c>
      <c r="U103" s="303">
        <f>Police!U103</f>
        <v>15222.533530612896</v>
      </c>
      <c r="V103" s="336">
        <f t="shared" si="9"/>
        <v>-31097.979665997933</v>
      </c>
      <c r="W103" s="180"/>
      <c r="X103" s="180"/>
      <c r="Y103" s="180"/>
      <c r="Z103" s="15"/>
    </row>
    <row r="104" spans="1:26" x14ac:dyDescent="0.25">
      <c r="A104" s="111">
        <f>Données!A104</f>
        <v>5565</v>
      </c>
      <c r="B104" s="119" t="str">
        <f>Données!B104</f>
        <v>Onnens</v>
      </c>
      <c r="C104" s="307">
        <f>Ressources!H104</f>
        <v>-510509.79718211864</v>
      </c>
      <c r="D104" s="307">
        <f>Ressources!L104</f>
        <v>0</v>
      </c>
      <c r="E104" s="335">
        <f>Ressources!T104</f>
        <v>-57739.133335637889</v>
      </c>
      <c r="F104" s="308">
        <f t="shared" si="5"/>
        <v>-568248.9305177565</v>
      </c>
      <c r="G104" s="307">
        <f>'Besoins structurels'!I104</f>
        <v>-11736</v>
      </c>
      <c r="H104" s="307">
        <f>'Besoins structurels'!N104</f>
        <v>-280</v>
      </c>
      <c r="I104" s="307">
        <f>'Besoins structurels'!V104</f>
        <v>-5010</v>
      </c>
      <c r="J104" s="309">
        <f t="shared" si="6"/>
        <v>-17026</v>
      </c>
      <c r="K104" s="307">
        <f>'Charges des villes'!N104</f>
        <v>244693.79942089022</v>
      </c>
      <c r="L104" s="307">
        <f>'Charges des villes'!U104</f>
        <v>53309.597229017469</v>
      </c>
      <c r="M104" s="302">
        <f t="shared" si="7"/>
        <v>298003.39664990769</v>
      </c>
      <c r="N104" s="308">
        <f>-VLOOKUP(A104,Paramètres!$B$23:$C$322,2,FALSE)*$N$5</f>
        <v>0</v>
      </c>
      <c r="O104" s="322"/>
      <c r="P104" s="602">
        <f t="shared" si="8"/>
        <v>-287271.5338678488</v>
      </c>
      <c r="Q104" s="603"/>
      <c r="R104" s="603"/>
      <c r="S104" s="604"/>
      <c r="T104" s="308">
        <f>PCS!D104</f>
        <v>513100.06995045277</v>
      </c>
      <c r="U104" s="303">
        <f>Police!U104</f>
        <v>76402.620672695208</v>
      </c>
      <c r="V104" s="336">
        <f t="shared" si="9"/>
        <v>302231.15675529919</v>
      </c>
      <c r="W104" s="180"/>
      <c r="X104" s="180"/>
      <c r="Y104" s="180"/>
      <c r="Z104" s="15"/>
    </row>
    <row r="105" spans="1:26" x14ac:dyDescent="0.25">
      <c r="A105" s="111">
        <f>Données!A105</f>
        <v>5566</v>
      </c>
      <c r="B105" s="119" t="str">
        <f>Données!B105</f>
        <v>Provence</v>
      </c>
      <c r="C105" s="307">
        <f>Ressources!H105</f>
        <v>-600072.32002029719</v>
      </c>
      <c r="D105" s="307">
        <f>Ressources!L105</f>
        <v>-4237</v>
      </c>
      <c r="E105" s="335">
        <f>Ressources!T105</f>
        <v>-57301.918385775236</v>
      </c>
      <c r="F105" s="308">
        <f t="shared" si="5"/>
        <v>-661611.23840607237</v>
      </c>
      <c r="G105" s="307">
        <f>'Besoins structurels'!I105</f>
        <v>-305072</v>
      </c>
      <c r="H105" s="307">
        <f>'Besoins structurels'!N105</f>
        <v>-24326</v>
      </c>
      <c r="I105" s="307">
        <f>'Besoins structurels'!V105</f>
        <v>0</v>
      </c>
      <c r="J105" s="309">
        <f t="shared" si="6"/>
        <v>-329398</v>
      </c>
      <c r="K105" s="307">
        <f>'Charges des villes'!N105</f>
        <v>195476.4507707681</v>
      </c>
      <c r="L105" s="307">
        <f>'Charges des villes'!U105</f>
        <v>42586.983744623067</v>
      </c>
      <c r="M105" s="302">
        <f t="shared" si="7"/>
        <v>238063.43451539119</v>
      </c>
      <c r="N105" s="308">
        <f>-VLOOKUP(A105,Paramètres!$B$23:$C$322,2,FALSE)*$N$5</f>
        <v>0</v>
      </c>
      <c r="O105" s="322"/>
      <c r="P105" s="602">
        <f t="shared" si="8"/>
        <v>-752945.80389068113</v>
      </c>
      <c r="Q105" s="603"/>
      <c r="R105" s="603"/>
      <c r="S105" s="604"/>
      <c r="T105" s="308">
        <f>PCS!D105</f>
        <v>409895.88130766718</v>
      </c>
      <c r="U105" s="303">
        <f>Police!U105</f>
        <v>61035.110632266944</v>
      </c>
      <c r="V105" s="336">
        <f t="shared" si="9"/>
        <v>-282014.81195074698</v>
      </c>
      <c r="W105" s="180"/>
      <c r="X105" s="180"/>
      <c r="Y105" s="180"/>
      <c r="Z105" s="15"/>
    </row>
    <row r="106" spans="1:26" x14ac:dyDescent="0.25">
      <c r="A106" s="111">
        <f>Données!A106</f>
        <v>5568</v>
      </c>
      <c r="B106" s="119" t="str">
        <f>Données!B106</f>
        <v>Sainte-Croix</v>
      </c>
      <c r="C106" s="307">
        <f>Ressources!H106</f>
        <v>-7979801.5965460483</v>
      </c>
      <c r="D106" s="307">
        <f>Ressources!L106</f>
        <v>-211989</v>
      </c>
      <c r="E106" s="335">
        <f>Ressources!T106</f>
        <v>-62187.886338139651</v>
      </c>
      <c r="F106" s="308">
        <f t="shared" si="5"/>
        <v>-8253978.4828841882</v>
      </c>
      <c r="G106" s="307">
        <f>'Besoins structurels'!I106</f>
        <v>0</v>
      </c>
      <c r="H106" s="307">
        <f>'Besoins structurels'!N106</f>
        <v>-892247</v>
      </c>
      <c r="I106" s="307">
        <f>'Besoins structurels'!V106</f>
        <v>0</v>
      </c>
      <c r="J106" s="309">
        <f t="shared" si="6"/>
        <v>-892247</v>
      </c>
      <c r="K106" s="307">
        <f>'Charges des villes'!N106</f>
        <v>765225.75825983146</v>
      </c>
      <c r="L106" s="307">
        <f>'Charges des villes'!U106</f>
        <v>520856.00784100749</v>
      </c>
      <c r="M106" s="302">
        <f t="shared" si="7"/>
        <v>1286081.766100839</v>
      </c>
      <c r="N106" s="308">
        <f>-VLOOKUP(A106,Paramètres!$B$23:$C$322,2,FALSE)*$N$5</f>
        <v>0</v>
      </c>
      <c r="O106" s="322"/>
      <c r="P106" s="602">
        <f t="shared" si="8"/>
        <v>-7860143.7167833485</v>
      </c>
      <c r="Q106" s="603"/>
      <c r="R106" s="603"/>
      <c r="S106" s="604"/>
      <c r="T106" s="308">
        <f>PCS!D106</f>
        <v>5013192.1445443667</v>
      </c>
      <c r="U106" s="303">
        <f>Police!U106</f>
        <v>876280.72887779027</v>
      </c>
      <c r="V106" s="336">
        <f t="shared" si="9"/>
        <v>-1970670.8433611915</v>
      </c>
      <c r="W106" s="180"/>
      <c r="X106" s="180"/>
      <c r="Y106" s="180"/>
      <c r="Z106" s="15"/>
    </row>
    <row r="107" spans="1:26" x14ac:dyDescent="0.25">
      <c r="A107" s="111">
        <f>Données!A107</f>
        <v>5571</v>
      </c>
      <c r="B107" s="119" t="str">
        <f>Données!B107</f>
        <v>Tévenon</v>
      </c>
      <c r="C107" s="307">
        <f>Ressources!H107</f>
        <v>-906220.88145537733</v>
      </c>
      <c r="D107" s="307">
        <f>Ressources!L107</f>
        <v>0</v>
      </c>
      <c r="E107" s="335">
        <f>Ressources!T107</f>
        <v>-58547.778839927254</v>
      </c>
      <c r="F107" s="308">
        <f t="shared" si="5"/>
        <v>-964768.66029530461</v>
      </c>
      <c r="G107" s="307">
        <f>'Besoins structurels'!I107</f>
        <v>-82717</v>
      </c>
      <c r="H107" s="307">
        <f>'Besoins structurels'!N107</f>
        <v>-84302</v>
      </c>
      <c r="I107" s="307">
        <f>'Besoins structurels'!V107</f>
        <v>-22092</v>
      </c>
      <c r="J107" s="309">
        <f t="shared" si="6"/>
        <v>-189111</v>
      </c>
      <c r="K107" s="307">
        <f>'Charges des villes'!N107</f>
        <v>397917.62069013837</v>
      </c>
      <c r="L107" s="307">
        <f>'Charges des villes'!U107</f>
        <v>86691.318454018925</v>
      </c>
      <c r="M107" s="302">
        <f t="shared" si="7"/>
        <v>484608.93914415728</v>
      </c>
      <c r="N107" s="308">
        <f>-VLOOKUP(A107,Paramètres!$B$23:$C$322,2,FALSE)*$N$5</f>
        <v>0</v>
      </c>
      <c r="O107" s="322"/>
      <c r="P107" s="602">
        <f t="shared" si="8"/>
        <v>-669270.72115114727</v>
      </c>
      <c r="Q107" s="603"/>
      <c r="R107" s="603"/>
      <c r="S107" s="604"/>
      <c r="T107" s="308">
        <f>PCS!D107</f>
        <v>834396.12893270969</v>
      </c>
      <c r="U107" s="303">
        <f>Police!U107</f>
        <v>124244.86891176429</v>
      </c>
      <c r="V107" s="336">
        <f t="shared" si="9"/>
        <v>289370.27669332671</v>
      </c>
      <c r="W107" s="180"/>
      <c r="X107" s="180"/>
      <c r="Y107" s="180"/>
      <c r="Z107" s="15"/>
    </row>
    <row r="108" spans="1:26" x14ac:dyDescent="0.25">
      <c r="A108" s="111">
        <f>Données!A108</f>
        <v>5581</v>
      </c>
      <c r="B108" s="119" t="str">
        <f>Données!B108</f>
        <v>Belmont-sur-Lausanne</v>
      </c>
      <c r="C108" s="307">
        <f>Ressources!H108</f>
        <v>999914.78009842918</v>
      </c>
      <c r="D108" s="307">
        <f>Ressources!L108</f>
        <v>0</v>
      </c>
      <c r="E108" s="335">
        <f>Ressources!T108</f>
        <v>-134620.24853693938</v>
      </c>
      <c r="F108" s="308">
        <f t="shared" si="5"/>
        <v>865294.5315614898</v>
      </c>
      <c r="G108" s="307">
        <f>'Besoins structurels'!I108</f>
        <v>0</v>
      </c>
      <c r="H108" s="307">
        <f>'Besoins structurels'!N108</f>
        <v>-39793</v>
      </c>
      <c r="I108" s="307">
        <f>'Besoins structurels'!V108</f>
        <v>0</v>
      </c>
      <c r="J108" s="309">
        <f t="shared" si="6"/>
        <v>-39793</v>
      </c>
      <c r="K108" s="307">
        <f>'Charges des villes'!N108</f>
        <v>851802.4498180307</v>
      </c>
      <c r="L108" s="307">
        <f>'Charges des villes'!U108</f>
        <v>-416106.29373793741</v>
      </c>
      <c r="M108" s="302">
        <f t="shared" si="7"/>
        <v>435696.15608009329</v>
      </c>
      <c r="N108" s="308">
        <f>-VLOOKUP(A108,Paramètres!$B$23:$C$322,2,FALSE)*$N$5</f>
        <v>0</v>
      </c>
      <c r="O108" s="322"/>
      <c r="P108" s="602">
        <f t="shared" si="8"/>
        <v>1261197.6876415832</v>
      </c>
      <c r="Q108" s="603"/>
      <c r="R108" s="603"/>
      <c r="S108" s="604"/>
      <c r="T108" s="308">
        <f>PCS!D108</f>
        <v>3788372.6227271571</v>
      </c>
      <c r="U108" s="303">
        <f>Police!U108</f>
        <v>117034.52979984402</v>
      </c>
      <c r="V108" s="336">
        <f t="shared" si="9"/>
        <v>5166604.8401685841</v>
      </c>
      <c r="W108" s="180"/>
      <c r="X108" s="180"/>
      <c r="Y108" s="180"/>
      <c r="Z108" s="15"/>
    </row>
    <row r="109" spans="1:26" x14ac:dyDescent="0.25">
      <c r="A109" s="111">
        <f>Données!A109</f>
        <v>5582</v>
      </c>
      <c r="B109" s="119" t="str">
        <f>Données!B109</f>
        <v>Cheseaux-sur-Lausanne</v>
      </c>
      <c r="C109" s="307">
        <f>Ressources!H109</f>
        <v>-3546948.0633291239</v>
      </c>
      <c r="D109" s="307">
        <f>Ressources!L109</f>
        <v>0</v>
      </c>
      <c r="E109" s="335">
        <f>Ressources!T109</f>
        <v>-658282.76486633113</v>
      </c>
      <c r="F109" s="308">
        <f t="shared" si="5"/>
        <v>-4205230.8281954546</v>
      </c>
      <c r="G109" s="307">
        <f>'Besoins structurels'!I109</f>
        <v>0</v>
      </c>
      <c r="H109" s="307">
        <f>'Besoins structurels'!N109</f>
        <v>0</v>
      </c>
      <c r="I109" s="307">
        <f>'Besoins structurels'!V109</f>
        <v>0</v>
      </c>
      <c r="J109" s="309">
        <f t="shared" si="6"/>
        <v>0</v>
      </c>
      <c r="K109" s="307">
        <f>'Charges des villes'!N109</f>
        <v>784426.78921749303</v>
      </c>
      <c r="L109" s="307">
        <f>'Charges des villes'!U109</f>
        <v>492633.27989623352</v>
      </c>
      <c r="M109" s="302">
        <f t="shared" si="7"/>
        <v>1277060.0691137265</v>
      </c>
      <c r="N109" s="308">
        <f>-VLOOKUP(A109,Paramètres!$B$23:$C$322,2,FALSE)*$N$5</f>
        <v>0</v>
      </c>
      <c r="O109" s="322"/>
      <c r="P109" s="602">
        <f t="shared" si="8"/>
        <v>-2928170.7590817278</v>
      </c>
      <c r="Q109" s="603"/>
      <c r="R109" s="603"/>
      <c r="S109" s="604"/>
      <c r="T109" s="308">
        <f>PCS!D109</f>
        <v>4741550.9310411857</v>
      </c>
      <c r="U109" s="303">
        <f>Police!U109</f>
        <v>823754.184647538</v>
      </c>
      <c r="V109" s="336">
        <f t="shared" si="9"/>
        <v>2637134.3566069957</v>
      </c>
      <c r="W109" s="180"/>
      <c r="X109" s="180"/>
      <c r="Y109" s="180"/>
      <c r="Z109" s="15"/>
    </row>
    <row r="110" spans="1:26" x14ac:dyDescent="0.25">
      <c r="A110" s="111">
        <f>Données!A110</f>
        <v>5583</v>
      </c>
      <c r="B110" s="119" t="str">
        <f>Données!B110</f>
        <v>Crissier</v>
      </c>
      <c r="C110" s="307">
        <f>Ressources!H110</f>
        <v>-3263291.8493943363</v>
      </c>
      <c r="D110" s="307">
        <f>Ressources!L110</f>
        <v>0</v>
      </c>
      <c r="E110" s="335">
        <f>Ressources!T110</f>
        <v>-1149037.1031384263</v>
      </c>
      <c r="F110" s="308">
        <f t="shared" si="5"/>
        <v>-4412328.9525327627</v>
      </c>
      <c r="G110" s="307">
        <f>'Besoins structurels'!I110</f>
        <v>0</v>
      </c>
      <c r="H110" s="307">
        <f>'Besoins structurels'!N110</f>
        <v>0</v>
      </c>
      <c r="I110" s="307">
        <f>'Besoins structurels'!V110</f>
        <v>0</v>
      </c>
      <c r="J110" s="309">
        <f t="shared" si="6"/>
        <v>0</v>
      </c>
      <c r="K110" s="307">
        <f>'Charges des villes'!N110</f>
        <v>354571.45100404974</v>
      </c>
      <c r="L110" s="307">
        <f>'Charges des villes'!U110</f>
        <v>-1693664.3783723754</v>
      </c>
      <c r="M110" s="302">
        <f t="shared" si="7"/>
        <v>-1339092.9273683256</v>
      </c>
      <c r="N110" s="308">
        <f>-VLOOKUP(A110,Paramètres!$B$23:$C$322,2,FALSE)*$N$5</f>
        <v>0</v>
      </c>
      <c r="O110" s="322"/>
      <c r="P110" s="602">
        <f t="shared" si="8"/>
        <v>-5751421.8799010888</v>
      </c>
      <c r="Q110" s="603"/>
      <c r="R110" s="603"/>
      <c r="S110" s="604"/>
      <c r="T110" s="308">
        <f>PCS!D110</f>
        <v>10822809.065596268</v>
      </c>
      <c r="U110" s="303">
        <f>Police!U110</f>
        <v>334349.99569649604</v>
      </c>
      <c r="V110" s="336">
        <f t="shared" si="9"/>
        <v>5405737.181391675</v>
      </c>
      <c r="W110" s="180"/>
      <c r="X110" s="180"/>
      <c r="Y110" s="180"/>
      <c r="Z110" s="15"/>
    </row>
    <row r="111" spans="1:26" x14ac:dyDescent="0.25">
      <c r="A111" s="111">
        <f>Données!A111</f>
        <v>5584</v>
      </c>
      <c r="B111" s="119" t="str">
        <f>Données!B111</f>
        <v>Epalinges</v>
      </c>
      <c r="C111" s="307">
        <f>Ressources!H111</f>
        <v>732281.22615687049</v>
      </c>
      <c r="D111" s="307">
        <f>Ressources!L111</f>
        <v>0</v>
      </c>
      <c r="E111" s="335">
        <f>Ressources!T111</f>
        <v>-1460879.8605207026</v>
      </c>
      <c r="F111" s="308">
        <f t="shared" si="5"/>
        <v>-728598.63436383207</v>
      </c>
      <c r="G111" s="307">
        <f>'Besoins structurels'!I111</f>
        <v>0</v>
      </c>
      <c r="H111" s="307">
        <f>'Besoins structurels'!N111</f>
        <v>-671807</v>
      </c>
      <c r="I111" s="307">
        <f>'Besoins structurels'!V111</f>
        <v>0</v>
      </c>
      <c r="J111" s="309">
        <f t="shared" si="6"/>
        <v>-671807</v>
      </c>
      <c r="K111" s="307">
        <f>'Charges des villes'!N111</f>
        <v>440391.11266786139</v>
      </c>
      <c r="L111" s="307">
        <f>'Charges des villes'!U111</f>
        <v>-1484472.4619104867</v>
      </c>
      <c r="M111" s="302">
        <f t="shared" si="7"/>
        <v>-1044081.3492426253</v>
      </c>
      <c r="N111" s="308">
        <f>-VLOOKUP(A111,Paramètres!$B$23:$C$322,2,FALSE)*$N$5</f>
        <v>-334500</v>
      </c>
      <c r="O111" s="322"/>
      <c r="P111" s="602">
        <f t="shared" si="8"/>
        <v>-2778986.9836064572</v>
      </c>
      <c r="Q111" s="603"/>
      <c r="R111" s="603"/>
      <c r="S111" s="604"/>
      <c r="T111" s="308">
        <f>PCS!D111</f>
        <v>9608699.4124117997</v>
      </c>
      <c r="U111" s="303">
        <f>Police!U111</f>
        <v>1791842.1575232833</v>
      </c>
      <c r="V111" s="336">
        <f t="shared" si="9"/>
        <v>8621554.5863286257</v>
      </c>
      <c r="W111" s="180"/>
      <c r="X111" s="180"/>
      <c r="Y111" s="180"/>
      <c r="Z111" s="15"/>
    </row>
    <row r="112" spans="1:26" x14ac:dyDescent="0.25">
      <c r="A112" s="111">
        <f>Données!A112</f>
        <v>5585</v>
      </c>
      <c r="B112" s="119" t="str">
        <f>Données!B112</f>
        <v>Jouxtens-Mézery</v>
      </c>
      <c r="C112" s="307">
        <f>Ressources!H112</f>
        <v>11303681.109794272</v>
      </c>
      <c r="D112" s="307">
        <f>Ressources!L112</f>
        <v>0</v>
      </c>
      <c r="E112" s="335">
        <f>Ressources!T112</f>
        <v>208983.71936745138</v>
      </c>
      <c r="F112" s="308">
        <f t="shared" si="5"/>
        <v>11512664.829161724</v>
      </c>
      <c r="G112" s="307">
        <f>'Besoins structurels'!I112</f>
        <v>0</v>
      </c>
      <c r="H112" s="307">
        <f>'Besoins structurels'!N112</f>
        <v>0</v>
      </c>
      <c r="I112" s="307">
        <f>'Besoins structurels'!V112</f>
        <v>0</v>
      </c>
      <c r="J112" s="309">
        <f t="shared" si="6"/>
        <v>0</v>
      </c>
      <c r="K112" s="307">
        <f>'Charges des villes'!N112</f>
        <v>566418.26186545088</v>
      </c>
      <c r="L112" s="307">
        <f>'Charges des villes'!U112</f>
        <v>147183.04358296093</v>
      </c>
      <c r="M112" s="302">
        <f t="shared" si="7"/>
        <v>713601.30544841185</v>
      </c>
      <c r="N112" s="308">
        <f>-VLOOKUP(A112,Paramètres!$B$23:$C$322,2,FALSE)*$N$5</f>
        <v>0</v>
      </c>
      <c r="O112" s="322"/>
      <c r="P112" s="602">
        <f t="shared" si="8"/>
        <v>12226266.134610135</v>
      </c>
      <c r="Q112" s="603"/>
      <c r="R112" s="603"/>
      <c r="S112" s="604"/>
      <c r="T112" s="308">
        <f>PCS!D112</f>
        <v>1416623.5327854056</v>
      </c>
      <c r="U112" s="303">
        <f>Police!U112</f>
        <v>222087.95075955248</v>
      </c>
      <c r="V112" s="336">
        <f t="shared" si="9"/>
        <v>13864977.618155094</v>
      </c>
      <c r="W112" s="180"/>
      <c r="X112" s="180"/>
      <c r="Y112" s="180"/>
      <c r="Z112" s="15"/>
    </row>
    <row r="113" spans="1:26" x14ac:dyDescent="0.25">
      <c r="A113" s="111">
        <f>Données!A113</f>
        <v>5586</v>
      </c>
      <c r="B113" s="119" t="str">
        <f>Données!B113</f>
        <v>Lausanne</v>
      </c>
      <c r="C113" s="307">
        <f>Ressources!H113</f>
        <v>-506321.52326009015</v>
      </c>
      <c r="D113" s="307">
        <f>Ressources!L113</f>
        <v>0</v>
      </c>
      <c r="E113" s="335">
        <f>Ressources!T113</f>
        <v>-11866869.060798462</v>
      </c>
      <c r="F113" s="308">
        <f t="shared" si="5"/>
        <v>-12373190.584058553</v>
      </c>
      <c r="G113" s="307">
        <f>'Besoins structurels'!I113</f>
        <v>0</v>
      </c>
      <c r="H113" s="307">
        <f>'Besoins structurels'!N113</f>
        <v>-240511</v>
      </c>
      <c r="I113" s="307">
        <f>'Besoins structurels'!V113</f>
        <v>0</v>
      </c>
      <c r="J113" s="309">
        <f t="shared" si="6"/>
        <v>-240511</v>
      </c>
      <c r="K113" s="307">
        <f>'Charges des villes'!N113</f>
        <v>-80877317.514130026</v>
      </c>
      <c r="L113" s="307">
        <f>'Charges des villes'!U113</f>
        <v>-18237236.774390038</v>
      </c>
      <c r="M113" s="302">
        <f t="shared" si="7"/>
        <v>-99114554.288520068</v>
      </c>
      <c r="N113" s="308">
        <f>-VLOOKUP(A113,Paramètres!$B$23:$C$322,2,FALSE)*$N$5</f>
        <v>0</v>
      </c>
      <c r="O113" s="322"/>
      <c r="P113" s="602">
        <f t="shared" si="8"/>
        <v>-111728255.87257862</v>
      </c>
      <c r="Q113" s="603"/>
      <c r="R113" s="603"/>
      <c r="S113" s="604"/>
      <c r="T113" s="308">
        <f>PCS!D113</f>
        <v>141863893.53372034</v>
      </c>
      <c r="U113" s="303">
        <f>Police!U113</f>
        <v>4382613.7840004815</v>
      </c>
      <c r="V113" s="336">
        <f t="shared" si="9"/>
        <v>34518251.445142202</v>
      </c>
      <c r="W113" s="180"/>
      <c r="X113" s="180"/>
      <c r="Y113" s="180"/>
      <c r="Z113" s="15"/>
    </row>
    <row r="114" spans="1:26" x14ac:dyDescent="0.25">
      <c r="A114" s="111">
        <f>Données!A114</f>
        <v>5587</v>
      </c>
      <c r="B114" s="119" t="str">
        <f>Données!B114</f>
        <v>Le Mont-sur-Lausanne</v>
      </c>
      <c r="C114" s="307">
        <f>Ressources!H114</f>
        <v>2305744.7526106653</v>
      </c>
      <c r="D114" s="307">
        <f>Ressources!L114</f>
        <v>0</v>
      </c>
      <c r="E114" s="335">
        <f>Ressources!T114</f>
        <v>-443893.29593779286</v>
      </c>
      <c r="F114" s="308">
        <f t="shared" si="5"/>
        <v>1861851.4566728724</v>
      </c>
      <c r="G114" s="307">
        <f>'Besoins structurels'!I114</f>
        <v>0</v>
      </c>
      <c r="H114" s="307">
        <f>'Besoins structurels'!N114</f>
        <v>-31255</v>
      </c>
      <c r="I114" s="307">
        <f>'Besoins structurels'!V114</f>
        <v>0</v>
      </c>
      <c r="J114" s="309">
        <f t="shared" si="6"/>
        <v>-31255</v>
      </c>
      <c r="K114" s="307">
        <f>'Charges des villes'!N114</f>
        <v>446172.06822500657</v>
      </c>
      <c r="L114" s="307">
        <f>'Charges des villes'!U114</f>
        <v>-529806.16331321432</v>
      </c>
      <c r="M114" s="302">
        <f t="shared" si="7"/>
        <v>-83634.095088207745</v>
      </c>
      <c r="N114" s="308">
        <f>-VLOOKUP(A114,Paramètres!$B$23:$C$322,2,FALSE)*$N$5</f>
        <v>-582300</v>
      </c>
      <c r="O114" s="322"/>
      <c r="P114" s="602">
        <f t="shared" si="8"/>
        <v>1164662.3615846648</v>
      </c>
      <c r="Q114" s="603"/>
      <c r="R114" s="603"/>
      <c r="S114" s="604"/>
      <c r="T114" s="308">
        <f>PCS!D114</f>
        <v>9526914.9610344972</v>
      </c>
      <c r="U114" s="303">
        <f>Police!U114</f>
        <v>1775548.2676914567</v>
      </c>
      <c r="V114" s="336">
        <f t="shared" si="9"/>
        <v>12467125.590310618</v>
      </c>
      <c r="W114" s="180"/>
      <c r="X114" s="180"/>
      <c r="Y114" s="180"/>
      <c r="Z114" s="15"/>
    </row>
    <row r="115" spans="1:26" x14ac:dyDescent="0.25">
      <c r="A115" s="111">
        <f>Données!A115</f>
        <v>5588</v>
      </c>
      <c r="B115" s="119" t="str">
        <f>Données!B115</f>
        <v>Paudex</v>
      </c>
      <c r="C115" s="307">
        <f>Ressources!H115</f>
        <v>1988555.345038818</v>
      </c>
      <c r="D115" s="307">
        <f>Ressources!L115</f>
        <v>0</v>
      </c>
      <c r="E115" s="335">
        <f>Ressources!T115</f>
        <v>-31746.688826851954</v>
      </c>
      <c r="F115" s="308">
        <f t="shared" si="5"/>
        <v>1956808.656211966</v>
      </c>
      <c r="G115" s="307">
        <f>'Besoins structurels'!I115</f>
        <v>0</v>
      </c>
      <c r="H115" s="307">
        <f>'Besoins structurels'!N115</f>
        <v>0</v>
      </c>
      <c r="I115" s="307">
        <f>'Besoins structurels'!V115</f>
        <v>0</v>
      </c>
      <c r="J115" s="309">
        <f t="shared" si="6"/>
        <v>0</v>
      </c>
      <c r="K115" s="307">
        <f>'Charges des villes'!N115</f>
        <v>572701.56352444401</v>
      </c>
      <c r="L115" s="307">
        <f>'Charges des villes'!U115</f>
        <v>-125243.54394946314</v>
      </c>
      <c r="M115" s="302">
        <f t="shared" si="7"/>
        <v>447458.01957498083</v>
      </c>
      <c r="N115" s="308">
        <f>-VLOOKUP(A115,Paramètres!$B$23:$C$322,2,FALSE)*$N$5</f>
        <v>0</v>
      </c>
      <c r="O115" s="322"/>
      <c r="P115" s="602">
        <f t="shared" si="8"/>
        <v>2404266.6757869469</v>
      </c>
      <c r="Q115" s="603"/>
      <c r="R115" s="603"/>
      <c r="S115" s="604"/>
      <c r="T115" s="308">
        <f>PCS!D115</f>
        <v>1443885.0165778396</v>
      </c>
      <c r="U115" s="303">
        <f>Police!U115</f>
        <v>44606.067256018679</v>
      </c>
      <c r="V115" s="336">
        <f t="shared" si="9"/>
        <v>3892757.7596208053</v>
      </c>
      <c r="W115" s="180"/>
      <c r="X115" s="180"/>
      <c r="Y115" s="180"/>
      <c r="Z115" s="15"/>
    </row>
    <row r="116" spans="1:26" x14ac:dyDescent="0.25">
      <c r="A116" s="111">
        <f>Données!A116</f>
        <v>5589</v>
      </c>
      <c r="B116" s="119" t="str">
        <f>Données!B116</f>
        <v>Prilly</v>
      </c>
      <c r="C116" s="307">
        <f>Ressources!H116</f>
        <v>-9843329.5799497589</v>
      </c>
      <c r="D116" s="307">
        <f>Ressources!L116</f>
        <v>0</v>
      </c>
      <c r="E116" s="335">
        <f>Ressources!T116</f>
        <v>-1303717.3634410845</v>
      </c>
      <c r="F116" s="308">
        <f t="shared" si="5"/>
        <v>-11147046.943390843</v>
      </c>
      <c r="G116" s="307">
        <f>'Besoins structurels'!I116</f>
        <v>0</v>
      </c>
      <c r="H116" s="307">
        <f>'Besoins structurels'!N116</f>
        <v>0</v>
      </c>
      <c r="I116" s="307">
        <f>'Besoins structurels'!V116</f>
        <v>0</v>
      </c>
      <c r="J116" s="309">
        <f t="shared" si="6"/>
        <v>0</v>
      </c>
      <c r="K116" s="307">
        <f>'Charges des villes'!N116</f>
        <v>-207277.16035833117</v>
      </c>
      <c r="L116" s="307">
        <f>'Charges des villes'!U116</f>
        <v>-876151.68275895761</v>
      </c>
      <c r="M116" s="302">
        <f t="shared" si="7"/>
        <v>-1083428.8431172888</v>
      </c>
      <c r="N116" s="308">
        <f>-VLOOKUP(A116,Paramètres!$B$23:$C$322,2,FALSE)*$N$5</f>
        <v>-14300</v>
      </c>
      <c r="O116" s="322"/>
      <c r="P116" s="602">
        <f t="shared" si="8"/>
        <v>-12244775.786508132</v>
      </c>
      <c r="Q116" s="603"/>
      <c r="R116" s="603"/>
      <c r="S116" s="604"/>
      <c r="T116" s="308">
        <f>PCS!D116</f>
        <v>12724297.560118534</v>
      </c>
      <c r="U116" s="303">
        <f>Police!U116</f>
        <v>393092.84758523811</v>
      </c>
      <c r="V116" s="336">
        <f t="shared" si="9"/>
        <v>872614.62119563995</v>
      </c>
      <c r="W116" s="180"/>
      <c r="X116" s="180"/>
      <c r="Y116" s="180"/>
      <c r="Z116" s="15"/>
    </row>
    <row r="117" spans="1:26" x14ac:dyDescent="0.25">
      <c r="A117" s="111">
        <f>Données!A117</f>
        <v>5590</v>
      </c>
      <c r="B117" s="119" t="str">
        <f>Données!B117</f>
        <v>Pully</v>
      </c>
      <c r="C117" s="307">
        <f>Ressources!H117</f>
        <v>37479242.352141306</v>
      </c>
      <c r="D117" s="307">
        <f>Ressources!L117</f>
        <v>0</v>
      </c>
      <c r="E117" s="335">
        <f>Ressources!T117</f>
        <v>-5070.0024510826916</v>
      </c>
      <c r="F117" s="308">
        <f t="shared" si="5"/>
        <v>37474172.349690221</v>
      </c>
      <c r="G117" s="307">
        <f>'Besoins structurels'!I117</f>
        <v>0</v>
      </c>
      <c r="H117" s="307">
        <f>'Besoins structurels'!N117</f>
        <v>-4980</v>
      </c>
      <c r="I117" s="307">
        <f>'Besoins structurels'!V117</f>
        <v>0</v>
      </c>
      <c r="J117" s="309">
        <f t="shared" si="6"/>
        <v>-4980</v>
      </c>
      <c r="K117" s="307">
        <f>'Charges des villes'!N117</f>
        <v>-3487320.4940270558</v>
      </c>
      <c r="L117" s="307">
        <f>'Charges des villes'!U117</f>
        <v>-3156371.703246126</v>
      </c>
      <c r="M117" s="302">
        <f t="shared" si="7"/>
        <v>-6643692.1972731818</v>
      </c>
      <c r="N117" s="308">
        <f>-VLOOKUP(A117,Paramètres!$B$23:$C$322,2,FALSE)*$N$5</f>
        <v>0</v>
      </c>
      <c r="O117" s="322"/>
      <c r="P117" s="602">
        <f t="shared" si="8"/>
        <v>30825500.152417041</v>
      </c>
      <c r="Q117" s="603"/>
      <c r="R117" s="603"/>
      <c r="S117" s="604"/>
      <c r="T117" s="308">
        <f>PCS!D117</f>
        <v>19034357.43364583</v>
      </c>
      <c r="U117" s="303">
        <f>Police!U117</f>
        <v>588030.08419094072</v>
      </c>
      <c r="V117" s="336">
        <f t="shared" si="9"/>
        <v>50447887.670253813</v>
      </c>
      <c r="W117" s="180"/>
      <c r="X117" s="180"/>
      <c r="Y117" s="180"/>
      <c r="Z117" s="15"/>
    </row>
    <row r="118" spans="1:26" x14ac:dyDescent="0.25">
      <c r="A118" s="111">
        <f>Données!A118</f>
        <v>5591</v>
      </c>
      <c r="B118" s="119" t="str">
        <f>Données!B118</f>
        <v>Renens</v>
      </c>
      <c r="C118" s="307">
        <f>Ressources!H118</f>
        <v>-24199487.860867687</v>
      </c>
      <c r="D118" s="307">
        <f>Ressources!L118</f>
        <v>0</v>
      </c>
      <c r="E118" s="335">
        <f>Ressources!T118</f>
        <v>-2812556.1804306796</v>
      </c>
      <c r="F118" s="308">
        <f t="shared" si="5"/>
        <v>-27012044.041298367</v>
      </c>
      <c r="G118" s="307">
        <f>'Besoins structurels'!I118</f>
        <v>0</v>
      </c>
      <c r="H118" s="307">
        <f>'Besoins structurels'!N118</f>
        <v>0</v>
      </c>
      <c r="I118" s="307">
        <f>'Besoins structurels'!V118</f>
        <v>0</v>
      </c>
      <c r="J118" s="309">
        <f t="shared" si="6"/>
        <v>0</v>
      </c>
      <c r="K118" s="307">
        <f>'Charges des villes'!N118</f>
        <v>-4675882.803827107</v>
      </c>
      <c r="L118" s="307">
        <f>'Charges des villes'!U118</f>
        <v>-3308081.2087936159</v>
      </c>
      <c r="M118" s="302">
        <f t="shared" si="7"/>
        <v>-7983964.0126207229</v>
      </c>
      <c r="N118" s="308">
        <f>-VLOOKUP(A118,Paramètres!$B$23:$C$322,2,FALSE)*$N$5</f>
        <v>-86300</v>
      </c>
      <c r="O118" s="322"/>
      <c r="P118" s="602">
        <f t="shared" si="8"/>
        <v>-35082308.053919092</v>
      </c>
      <c r="Q118" s="603"/>
      <c r="R118" s="603"/>
      <c r="S118" s="604"/>
      <c r="T118" s="308">
        <f>PCS!D118</f>
        <v>21251300.2406234</v>
      </c>
      <c r="U118" s="303">
        <f>Police!U118</f>
        <v>656518.29399670917</v>
      </c>
      <c r="V118" s="336">
        <f t="shared" si="9"/>
        <v>-13174489.519298984</v>
      </c>
      <c r="W118" s="180"/>
      <c r="X118" s="180"/>
      <c r="Y118" s="180"/>
      <c r="Z118" s="15"/>
    </row>
    <row r="119" spans="1:26" x14ac:dyDescent="0.25">
      <c r="A119" s="111">
        <f>Données!A119</f>
        <v>5592</v>
      </c>
      <c r="B119" s="119" t="str">
        <f>Données!B119</f>
        <v>Romanel-sur-Lausanne</v>
      </c>
      <c r="C119" s="307">
        <f>Ressources!H119</f>
        <v>-3962029.3954214775</v>
      </c>
      <c r="D119" s="307">
        <f>Ressources!L119</f>
        <v>0</v>
      </c>
      <c r="E119" s="335">
        <f>Ressources!T119</f>
        <v>-239368.66087599192</v>
      </c>
      <c r="F119" s="308">
        <f t="shared" si="5"/>
        <v>-4201398.0562974699</v>
      </c>
      <c r="G119" s="307">
        <f>'Besoins structurels'!I119</f>
        <v>0</v>
      </c>
      <c r="H119" s="307">
        <f>'Besoins structurels'!N119</f>
        <v>0</v>
      </c>
      <c r="I119" s="307">
        <f>'Besoins structurels'!V119</f>
        <v>0</v>
      </c>
      <c r="J119" s="309">
        <f t="shared" si="6"/>
        <v>0</v>
      </c>
      <c r="K119" s="307">
        <f>'Charges des villes'!N119</f>
        <v>821521.25404250808</v>
      </c>
      <c r="L119" s="307">
        <f>'Charges des villes'!U119</f>
        <v>438109.80189539783</v>
      </c>
      <c r="M119" s="302">
        <f t="shared" si="7"/>
        <v>1259631.0559379058</v>
      </c>
      <c r="N119" s="308">
        <f>-VLOOKUP(A119,Paramètres!$B$23:$C$322,2,FALSE)*$N$5</f>
        <v>0</v>
      </c>
      <c r="O119" s="322"/>
      <c r="P119" s="602">
        <f t="shared" si="8"/>
        <v>-2941767.0003595641</v>
      </c>
      <c r="Q119" s="603"/>
      <c r="R119" s="603"/>
      <c r="S119" s="604"/>
      <c r="T119" s="308">
        <f>PCS!D119</f>
        <v>4216767.3680368327</v>
      </c>
      <c r="U119" s="303">
        <f>Police!U119</f>
        <v>725804.25513425283</v>
      </c>
      <c r="V119" s="336">
        <f t="shared" si="9"/>
        <v>2000804.6228115214</v>
      </c>
      <c r="W119" s="180"/>
      <c r="X119" s="180"/>
      <c r="Y119" s="180"/>
      <c r="Z119" s="15"/>
    </row>
    <row r="120" spans="1:26" x14ac:dyDescent="0.25">
      <c r="A120" s="111">
        <f>Données!A120</f>
        <v>5601</v>
      </c>
      <c r="B120" s="119" t="str">
        <f>Données!B120</f>
        <v>Chexbres</v>
      </c>
      <c r="C120" s="307">
        <f>Ressources!H120</f>
        <v>-47195.354108604421</v>
      </c>
      <c r="D120" s="307">
        <f>Ressources!L120</f>
        <v>0</v>
      </c>
      <c r="E120" s="335">
        <f>Ressources!T120</f>
        <v>367489.43437652884</v>
      </c>
      <c r="F120" s="308">
        <f t="shared" si="5"/>
        <v>320294.08026792441</v>
      </c>
      <c r="G120" s="307">
        <f>'Besoins structurels'!I120</f>
        <v>0</v>
      </c>
      <c r="H120" s="307">
        <f>'Besoins structurels'!N120</f>
        <v>0</v>
      </c>
      <c r="I120" s="307">
        <f>'Besoins structurels'!V120</f>
        <v>0</v>
      </c>
      <c r="J120" s="309">
        <f t="shared" si="6"/>
        <v>0</v>
      </c>
      <c r="K120" s="307">
        <f>'Charges des villes'!N120</f>
        <v>749756.02812964318</v>
      </c>
      <c r="L120" s="307">
        <f>'Charges des villes'!U120</f>
        <v>229828.09279758576</v>
      </c>
      <c r="M120" s="302">
        <f t="shared" si="7"/>
        <v>979584.12092722894</v>
      </c>
      <c r="N120" s="308">
        <f>-VLOOKUP(A120,Paramètres!$B$23:$C$322,2,FALSE)*$N$5</f>
        <v>0</v>
      </c>
      <c r="O120" s="322"/>
      <c r="P120" s="602">
        <f t="shared" si="8"/>
        <v>1299878.2011951534</v>
      </c>
      <c r="Q120" s="603"/>
      <c r="R120" s="603"/>
      <c r="S120" s="604"/>
      <c r="T120" s="308">
        <f>PCS!D120</f>
        <v>2212074.6848717812</v>
      </c>
      <c r="U120" s="303">
        <f>Police!U120</f>
        <v>68337.818479888359</v>
      </c>
      <c r="V120" s="336">
        <f t="shared" si="9"/>
        <v>3580290.7045468227</v>
      </c>
      <c r="W120" s="180"/>
      <c r="X120" s="180"/>
      <c r="Y120" s="180"/>
      <c r="Z120" s="15"/>
    </row>
    <row r="121" spans="1:26" x14ac:dyDescent="0.25">
      <c r="A121" s="111">
        <f>Données!A121</f>
        <v>5604</v>
      </c>
      <c r="B121" s="119" t="str">
        <f>Données!B121</f>
        <v>Forel (Lavaux)</v>
      </c>
      <c r="C121" s="307">
        <f>Ressources!H121</f>
        <v>-1350052.9614160133</v>
      </c>
      <c r="D121" s="307">
        <f>Ressources!L121</f>
        <v>0</v>
      </c>
      <c r="E121" s="335">
        <f>Ressources!T121</f>
        <v>-198564.94069867709</v>
      </c>
      <c r="F121" s="308">
        <f t="shared" si="5"/>
        <v>-1548617.9021146903</v>
      </c>
      <c r="G121" s="307">
        <f>'Besoins structurels'!I121</f>
        <v>-24465</v>
      </c>
      <c r="H121" s="307">
        <f>'Besoins structurels'!N121</f>
        <v>-30381</v>
      </c>
      <c r="I121" s="307">
        <f>'Besoins structurels'!V121</f>
        <v>-8603</v>
      </c>
      <c r="J121" s="309">
        <f t="shared" si="6"/>
        <v>-63449</v>
      </c>
      <c r="K121" s="307">
        <f>'Charges des villes'!N121</f>
        <v>714075.85085178935</v>
      </c>
      <c r="L121" s="307">
        <f>'Charges des villes'!U121</f>
        <v>213744.17257099415</v>
      </c>
      <c r="M121" s="302">
        <f t="shared" si="7"/>
        <v>927820.02342278347</v>
      </c>
      <c r="N121" s="308">
        <f>-VLOOKUP(A121,Paramètres!$B$23:$C$322,2,FALSE)*$N$5</f>
        <v>-49200</v>
      </c>
      <c r="O121" s="322"/>
      <c r="P121" s="602">
        <f t="shared" si="8"/>
        <v>-733446.87869190681</v>
      </c>
      <c r="Q121" s="603"/>
      <c r="R121" s="603"/>
      <c r="S121" s="604"/>
      <c r="T121" s="308">
        <f>PCS!D121</f>
        <v>2057268.4019076028</v>
      </c>
      <c r="U121" s="303">
        <f>Police!U121</f>
        <v>333602.95766346029</v>
      </c>
      <c r="V121" s="336">
        <f t="shared" si="9"/>
        <v>1657424.4808791564</v>
      </c>
      <c r="W121" s="180"/>
      <c r="X121" s="180"/>
      <c r="Y121" s="180"/>
      <c r="Z121" s="15"/>
    </row>
    <row r="122" spans="1:26" x14ac:dyDescent="0.25">
      <c r="A122" s="111">
        <f>Données!A122</f>
        <v>5606</v>
      </c>
      <c r="B122" s="119" t="str">
        <f>Données!B122</f>
        <v>Lutry</v>
      </c>
      <c r="C122" s="307">
        <f>Ressources!H122</f>
        <v>22039272.504539326</v>
      </c>
      <c r="D122" s="307">
        <f>Ressources!L122</f>
        <v>0</v>
      </c>
      <c r="E122" s="335">
        <f>Ressources!T122</f>
        <v>23651.305506031029</v>
      </c>
      <c r="F122" s="308">
        <f t="shared" si="5"/>
        <v>22062923.810045358</v>
      </c>
      <c r="G122" s="307">
        <f>'Besoins structurels'!I122</f>
        <v>0</v>
      </c>
      <c r="H122" s="307">
        <f>'Besoins structurels'!N122</f>
        <v>-7220</v>
      </c>
      <c r="I122" s="307">
        <f>'Besoins structurels'!V122</f>
        <v>0</v>
      </c>
      <c r="J122" s="309">
        <f t="shared" si="6"/>
        <v>-7220</v>
      </c>
      <c r="K122" s="307">
        <f>'Charges des villes'!N122</f>
        <v>373359.55656477157</v>
      </c>
      <c r="L122" s="307">
        <f>'Charges des villes'!U122</f>
        <v>-1365314.5419312399</v>
      </c>
      <c r="M122" s="302">
        <f t="shared" si="7"/>
        <v>-991954.98536646832</v>
      </c>
      <c r="N122" s="308">
        <f>-VLOOKUP(A122,Paramètres!$B$23:$C$322,2,FALSE)*$N$5</f>
        <v>0</v>
      </c>
      <c r="O122" s="322"/>
      <c r="P122" s="602">
        <f t="shared" si="8"/>
        <v>21063748.82467889</v>
      </c>
      <c r="Q122" s="603"/>
      <c r="R122" s="603"/>
      <c r="S122" s="604"/>
      <c r="T122" s="308">
        <f>PCS!D122</f>
        <v>10557009.598620037</v>
      </c>
      <c r="U122" s="303">
        <f>Police!U122</f>
        <v>326138.6293034461</v>
      </c>
      <c r="V122" s="336">
        <f t="shared" si="9"/>
        <v>31946897.052602373</v>
      </c>
      <c r="W122" s="180"/>
      <c r="X122" s="180"/>
      <c r="Y122" s="180"/>
      <c r="Z122" s="15"/>
    </row>
    <row r="123" spans="1:26" x14ac:dyDescent="0.25">
      <c r="A123" s="111">
        <f>Données!A123</f>
        <v>5607</v>
      </c>
      <c r="B123" s="119" t="str">
        <f>Données!B123</f>
        <v>Puidoux</v>
      </c>
      <c r="C123" s="307">
        <f>Ressources!H123</f>
        <v>-1129224.9517835232</v>
      </c>
      <c r="D123" s="307">
        <f>Ressources!L123</f>
        <v>0</v>
      </c>
      <c r="E123" s="335">
        <f>Ressources!T123</f>
        <v>-448298.97027250961</v>
      </c>
      <c r="F123" s="308">
        <f t="shared" si="5"/>
        <v>-1577523.9220560328</v>
      </c>
      <c r="G123" s="307">
        <f>'Besoins structurels'!I123</f>
        <v>0</v>
      </c>
      <c r="H123" s="307">
        <f>'Besoins structurels'!N123</f>
        <v>-12783</v>
      </c>
      <c r="I123" s="307">
        <f>'Besoins structurels'!V123</f>
        <v>0</v>
      </c>
      <c r="J123" s="309">
        <f t="shared" si="6"/>
        <v>-12783</v>
      </c>
      <c r="K123" s="307">
        <f>'Charges des villes'!N123</f>
        <v>912158.37867060688</v>
      </c>
      <c r="L123" s="307">
        <f>'Charges des villes'!U123</f>
        <v>304886.38718834659</v>
      </c>
      <c r="M123" s="302">
        <f t="shared" si="7"/>
        <v>1217044.7658589534</v>
      </c>
      <c r="N123" s="308">
        <f>-VLOOKUP(A123,Paramètres!$B$23:$C$322,2,FALSE)*$N$5</f>
        <v>-262100</v>
      </c>
      <c r="O123" s="322"/>
      <c r="P123" s="602">
        <f t="shared" si="8"/>
        <v>-635362.15619707946</v>
      </c>
      <c r="Q123" s="603"/>
      <c r="R123" s="603"/>
      <c r="S123" s="604"/>
      <c r="T123" s="308">
        <f>PCS!D123</f>
        <v>2934504.00537128</v>
      </c>
      <c r="U123" s="303">
        <f>Police!U123</f>
        <v>90655.891240485696</v>
      </c>
      <c r="V123" s="336">
        <f t="shared" si="9"/>
        <v>2389797.740414686</v>
      </c>
      <c r="W123" s="180"/>
      <c r="X123" s="180"/>
      <c r="Y123" s="180"/>
      <c r="Z123" s="15"/>
    </row>
    <row r="124" spans="1:26" x14ac:dyDescent="0.25">
      <c r="A124" s="111">
        <f>Données!A124</f>
        <v>5609</v>
      </c>
      <c r="B124" s="119" t="str">
        <f>Données!B124</f>
        <v>Rivaz</v>
      </c>
      <c r="C124" s="307">
        <f>Ressources!H124</f>
        <v>-20000.756135654396</v>
      </c>
      <c r="D124" s="307">
        <f>Ressources!L124</f>
        <v>0</v>
      </c>
      <c r="E124" s="335">
        <f>Ressources!T124</f>
        <v>-66349.105504289386</v>
      </c>
      <c r="F124" s="308">
        <f t="shared" si="5"/>
        <v>-86349.861639943789</v>
      </c>
      <c r="G124" s="307">
        <f>'Besoins structurels'!I124</f>
        <v>0</v>
      </c>
      <c r="H124" s="307">
        <f>'Besoins structurels'!N124</f>
        <v>0</v>
      </c>
      <c r="I124" s="307">
        <f>'Besoins structurels'!V124</f>
        <v>0</v>
      </c>
      <c r="J124" s="309">
        <f t="shared" si="6"/>
        <v>0</v>
      </c>
      <c r="K124" s="307">
        <f>'Charges des villes'!N124</f>
        <v>153223.82126924815</v>
      </c>
      <c r="L124" s="307">
        <f>'Charges des villes'!U124</f>
        <v>33381.721225001449</v>
      </c>
      <c r="M124" s="302">
        <f t="shared" si="7"/>
        <v>186605.54249424959</v>
      </c>
      <c r="N124" s="308">
        <f>-VLOOKUP(A124,Paramètres!$B$23:$C$322,2,FALSE)*$N$5</f>
        <v>0</v>
      </c>
      <c r="O124" s="322"/>
      <c r="P124" s="602">
        <f t="shared" si="8"/>
        <v>100255.6808543058</v>
      </c>
      <c r="Q124" s="603"/>
      <c r="R124" s="603"/>
      <c r="S124" s="604"/>
      <c r="T124" s="308">
        <f>PCS!D124</f>
        <v>321296.05898225692</v>
      </c>
      <c r="U124" s="303">
        <f>Police!U124</f>
        <v>9925.8275080823769</v>
      </c>
      <c r="V124" s="336">
        <f t="shared" si="9"/>
        <v>431477.5673446451</v>
      </c>
      <c r="W124" s="180"/>
      <c r="X124" s="180"/>
      <c r="Y124" s="180"/>
      <c r="Z124" s="15"/>
    </row>
    <row r="125" spans="1:26" x14ac:dyDescent="0.25">
      <c r="A125" s="111">
        <f>Données!A125</f>
        <v>5610</v>
      </c>
      <c r="B125" s="119" t="str">
        <f>Données!B125</f>
        <v>St-Saphorin (Lavaux)</v>
      </c>
      <c r="C125" s="307">
        <f>Ressources!H125</f>
        <v>129670.58957876873</v>
      </c>
      <c r="D125" s="307">
        <f>Ressources!L125</f>
        <v>0</v>
      </c>
      <c r="E125" s="335">
        <f>Ressources!T125</f>
        <v>-38337.760191471898</v>
      </c>
      <c r="F125" s="308">
        <f t="shared" si="5"/>
        <v>91332.829387296835</v>
      </c>
      <c r="G125" s="307">
        <f>'Besoins structurels'!I125</f>
        <v>0</v>
      </c>
      <c r="H125" s="307">
        <f>'Besoins structurels'!N125</f>
        <v>0</v>
      </c>
      <c r="I125" s="307">
        <f>'Besoins structurels'!V125</f>
        <v>0</v>
      </c>
      <c r="J125" s="309">
        <f t="shared" si="6"/>
        <v>0</v>
      </c>
      <c r="K125" s="307">
        <f>'Charges des villes'!N125</f>
        <v>182475.64169337734</v>
      </c>
      <c r="L125" s="307">
        <f>'Charges des villes'!U125</f>
        <v>39754.595277047185</v>
      </c>
      <c r="M125" s="302">
        <f t="shared" si="7"/>
        <v>222230.23697042454</v>
      </c>
      <c r="N125" s="308">
        <f>-VLOOKUP(A125,Paramètres!$B$23:$C$322,2,FALSE)*$N$5</f>
        <v>-5300</v>
      </c>
      <c r="O125" s="322"/>
      <c r="P125" s="602">
        <f t="shared" si="8"/>
        <v>308263.06635772134</v>
      </c>
      <c r="Q125" s="603"/>
      <c r="R125" s="603"/>
      <c r="S125" s="604"/>
      <c r="T125" s="308">
        <f>PCS!D125</f>
        <v>382634.39751523326</v>
      </c>
      <c r="U125" s="303">
        <f>Police!U125</f>
        <v>11820.75821417083</v>
      </c>
      <c r="V125" s="336">
        <f t="shared" si="9"/>
        <v>702718.22208712541</v>
      </c>
      <c r="W125" s="180"/>
      <c r="X125" s="180"/>
      <c r="Y125" s="180"/>
      <c r="Z125" s="15"/>
    </row>
    <row r="126" spans="1:26" x14ac:dyDescent="0.25">
      <c r="A126" s="111">
        <f>Données!A126</f>
        <v>5611</v>
      </c>
      <c r="B126" s="119" t="str">
        <f>Données!B126</f>
        <v>Savigny</v>
      </c>
      <c r="C126" s="307">
        <f>Ressources!H126</f>
        <v>-1808164.2423192975</v>
      </c>
      <c r="D126" s="307">
        <f>Ressources!L126</f>
        <v>0</v>
      </c>
      <c r="E126" s="335">
        <f>Ressources!T126</f>
        <v>-333887.15046797937</v>
      </c>
      <c r="F126" s="308">
        <f t="shared" si="5"/>
        <v>-2142051.3927872768</v>
      </c>
      <c r="G126" s="307">
        <f>'Besoins structurels'!I126</f>
        <v>0</v>
      </c>
      <c r="H126" s="307">
        <f>'Besoins structurels'!N126</f>
        <v>-128534</v>
      </c>
      <c r="I126" s="307">
        <f>'Besoins structurels'!V126</f>
        <v>0</v>
      </c>
      <c r="J126" s="309">
        <f t="shared" si="6"/>
        <v>-128534</v>
      </c>
      <c r="K126" s="307">
        <f>'Charges des villes'!N126</f>
        <v>871966.97336854949</v>
      </c>
      <c r="L126" s="307">
        <f>'Charges des villes'!U126</f>
        <v>363961.9180835007</v>
      </c>
      <c r="M126" s="302">
        <f t="shared" si="7"/>
        <v>1235928.8914520503</v>
      </c>
      <c r="N126" s="308">
        <f>-VLOOKUP(A126,Paramètres!$B$23:$C$322,2,FALSE)*$N$5</f>
        <v>0</v>
      </c>
      <c r="O126" s="322"/>
      <c r="P126" s="602">
        <f t="shared" si="8"/>
        <v>-1034656.5013352265</v>
      </c>
      <c r="Q126" s="603"/>
      <c r="R126" s="603"/>
      <c r="S126" s="604"/>
      <c r="T126" s="308">
        <f>PCS!D126</f>
        <v>3503100.6673277589</v>
      </c>
      <c r="U126" s="303">
        <f>Police!U126</f>
        <v>108221.59810327391</v>
      </c>
      <c r="V126" s="336">
        <f t="shared" si="9"/>
        <v>2576665.7640958065</v>
      </c>
      <c r="W126" s="180"/>
      <c r="X126" s="180"/>
      <c r="Y126" s="180"/>
      <c r="Z126" s="15"/>
    </row>
    <row r="127" spans="1:26" x14ac:dyDescent="0.25">
      <c r="A127" s="111">
        <f>Données!A127</f>
        <v>5613</v>
      </c>
      <c r="B127" s="119" t="str">
        <f>Données!B127</f>
        <v>Bourg-en-Lavaux</v>
      </c>
      <c r="C127" s="307">
        <f>Ressources!H127</f>
        <v>6616213.3790717386</v>
      </c>
      <c r="D127" s="307">
        <f>Ressources!L127</f>
        <v>0</v>
      </c>
      <c r="E127" s="335">
        <f>Ressources!T127</f>
        <v>200708.29093078687</v>
      </c>
      <c r="F127" s="308">
        <f t="shared" si="5"/>
        <v>6816921.6700025257</v>
      </c>
      <c r="G127" s="307">
        <f>'Besoins structurels'!I127</f>
        <v>0</v>
      </c>
      <c r="H127" s="307">
        <f>'Besoins structurels'!N127</f>
        <v>-29942</v>
      </c>
      <c r="I127" s="307">
        <f>'Besoins structurels'!V127</f>
        <v>0</v>
      </c>
      <c r="J127" s="309">
        <f t="shared" si="6"/>
        <v>-29942</v>
      </c>
      <c r="K127" s="307">
        <f>'Charges des villes'!N127</f>
        <v>737078.01036849339</v>
      </c>
      <c r="L127" s="307">
        <f>'Charges des villes'!U127</f>
        <v>562229.11081381235</v>
      </c>
      <c r="M127" s="302">
        <f t="shared" si="7"/>
        <v>1299307.1211823057</v>
      </c>
      <c r="N127" s="308">
        <f>-VLOOKUP(A127,Paramètres!$B$23:$C$322,2,FALSE)*$N$5</f>
        <v>0</v>
      </c>
      <c r="O127" s="322"/>
      <c r="P127" s="602">
        <f t="shared" si="8"/>
        <v>8086286.7911848314</v>
      </c>
      <c r="Q127" s="603"/>
      <c r="R127" s="603"/>
      <c r="S127" s="604"/>
      <c r="T127" s="308">
        <f>PCS!D127</f>
        <v>5411404.5327981338</v>
      </c>
      <c r="U127" s="303">
        <f>Police!U127</f>
        <v>167174.99784824802</v>
      </c>
      <c r="V127" s="336">
        <f t="shared" si="9"/>
        <v>13664866.321831213</v>
      </c>
      <c r="W127" s="180"/>
      <c r="X127" s="180"/>
      <c r="Y127" s="180"/>
      <c r="Z127" s="15"/>
    </row>
    <row r="128" spans="1:26" x14ac:dyDescent="0.25">
      <c r="A128" s="111">
        <f>Données!A128</f>
        <v>5621</v>
      </c>
      <c r="B128" s="119" t="str">
        <f>Données!B128</f>
        <v>Aclens</v>
      </c>
      <c r="C128" s="307">
        <f>Ressources!H128</f>
        <v>352379.7285446758</v>
      </c>
      <c r="D128" s="307">
        <f>Ressources!L128</f>
        <v>0</v>
      </c>
      <c r="E128" s="335">
        <f>Ressources!T128</f>
        <v>178722.05302390235</v>
      </c>
      <c r="F128" s="308">
        <f t="shared" si="5"/>
        <v>531101.78156857821</v>
      </c>
      <c r="G128" s="307">
        <f>'Besoins structurels'!I128</f>
        <v>0</v>
      </c>
      <c r="H128" s="307">
        <f>'Besoins structurels'!N128</f>
        <v>0</v>
      </c>
      <c r="I128" s="307">
        <f>'Besoins structurels'!V128</f>
        <v>0</v>
      </c>
      <c r="J128" s="309">
        <f t="shared" si="6"/>
        <v>0</v>
      </c>
      <c r="K128" s="307">
        <f>'Charges des villes'!N128</f>
        <v>282767.59743324888</v>
      </c>
      <c r="L128" s="307">
        <f>'Charges des villes'!U128</f>
        <v>61604.449169775406</v>
      </c>
      <c r="M128" s="302">
        <f t="shared" si="7"/>
        <v>344372.0466030243</v>
      </c>
      <c r="N128" s="308">
        <f>-VLOOKUP(A128,Paramètres!$B$23:$C$322,2,FALSE)*$N$5</f>
        <v>0</v>
      </c>
      <c r="O128" s="322"/>
      <c r="P128" s="602">
        <f t="shared" si="8"/>
        <v>875473.82817160245</v>
      </c>
      <c r="Q128" s="603"/>
      <c r="R128" s="603"/>
      <c r="S128" s="604"/>
      <c r="T128" s="308">
        <f>PCS!D128</f>
        <v>592937.2724854378</v>
      </c>
      <c r="U128" s="303">
        <f>Police!U128</f>
        <v>88290.694477554789</v>
      </c>
      <c r="V128" s="336">
        <f t="shared" si="9"/>
        <v>1556701.7951345951</v>
      </c>
      <c r="W128" s="180"/>
      <c r="X128" s="180"/>
      <c r="Y128" s="180"/>
      <c r="Z128" s="15"/>
    </row>
    <row r="129" spans="1:26" x14ac:dyDescent="0.25">
      <c r="A129" s="111">
        <f>Données!A129</f>
        <v>5622</v>
      </c>
      <c r="B129" s="119" t="str">
        <f>Données!B129</f>
        <v>Bremblens</v>
      </c>
      <c r="C129" s="307">
        <f>Ressources!H129</f>
        <v>277642.34708399005</v>
      </c>
      <c r="D129" s="307">
        <f>Ressources!L129</f>
        <v>0</v>
      </c>
      <c r="E129" s="335">
        <f>Ressources!T129</f>
        <v>-6428.5008501711127</v>
      </c>
      <c r="F129" s="308">
        <f t="shared" si="5"/>
        <v>271213.84623381891</v>
      </c>
      <c r="G129" s="307">
        <f>'Besoins structurels'!I129</f>
        <v>0</v>
      </c>
      <c r="H129" s="307">
        <f>'Besoins structurels'!N129</f>
        <v>0</v>
      </c>
      <c r="I129" s="307">
        <f>'Besoins structurels'!V129</f>
        <v>0</v>
      </c>
      <c r="J129" s="309">
        <f t="shared" si="6"/>
        <v>0</v>
      </c>
      <c r="K129" s="307">
        <f>'Charges des villes'!N129</f>
        <v>276731.50750446029</v>
      </c>
      <c r="L129" s="307">
        <f>'Charges des villes'!U129</f>
        <v>60289.411666972323</v>
      </c>
      <c r="M129" s="302">
        <f t="shared" si="7"/>
        <v>337020.91917143262</v>
      </c>
      <c r="N129" s="308">
        <f>-VLOOKUP(A129,Paramètres!$B$23:$C$322,2,FALSE)*$N$5</f>
        <v>0</v>
      </c>
      <c r="O129" s="322"/>
      <c r="P129" s="602">
        <f t="shared" si="8"/>
        <v>608234.76540525153</v>
      </c>
      <c r="Q129" s="603"/>
      <c r="R129" s="603"/>
      <c r="S129" s="604"/>
      <c r="T129" s="308">
        <f>PCS!D129</f>
        <v>580280.15501037915</v>
      </c>
      <c r="U129" s="303">
        <f>Police!U129</f>
        <v>86405.999849955115</v>
      </c>
      <c r="V129" s="336">
        <f t="shared" si="9"/>
        <v>1274920.9202655856</v>
      </c>
      <c r="W129" s="180"/>
      <c r="X129" s="180"/>
      <c r="Y129" s="180"/>
      <c r="Z129" s="15"/>
    </row>
    <row r="130" spans="1:26" x14ac:dyDescent="0.25">
      <c r="A130" s="111">
        <f>Données!A130</f>
        <v>5623</v>
      </c>
      <c r="B130" s="119" t="str">
        <f>Données!B130</f>
        <v>Buchillon</v>
      </c>
      <c r="C130" s="307">
        <f>Ressources!H130</f>
        <v>3878418.5899916883</v>
      </c>
      <c r="D130" s="307">
        <f>Ressources!L130</f>
        <v>0</v>
      </c>
      <c r="E130" s="335">
        <f>Ressources!T130</f>
        <v>88869.123624468601</v>
      </c>
      <c r="F130" s="308">
        <f t="shared" si="5"/>
        <v>3967287.713616157</v>
      </c>
      <c r="G130" s="307">
        <f>'Besoins structurels'!I130</f>
        <v>0</v>
      </c>
      <c r="H130" s="307">
        <f>'Besoins structurels'!N130</f>
        <v>0</v>
      </c>
      <c r="I130" s="307">
        <f>'Besoins structurels'!V130</f>
        <v>0</v>
      </c>
      <c r="J130" s="309">
        <f t="shared" si="6"/>
        <v>0</v>
      </c>
      <c r="K130" s="307">
        <f>'Charges des villes'!N130</f>
        <v>316662.56395644619</v>
      </c>
      <c r="L130" s="307">
        <f>'Charges des villes'!U130</f>
        <v>68988.890531669662</v>
      </c>
      <c r="M130" s="302">
        <f t="shared" si="7"/>
        <v>385651.45448811585</v>
      </c>
      <c r="N130" s="308">
        <f>-VLOOKUP(A130,Paramètres!$B$23:$C$322,2,FALSE)*$N$5</f>
        <v>0</v>
      </c>
      <c r="O130" s="322"/>
      <c r="P130" s="602">
        <f t="shared" si="8"/>
        <v>4352939.1681042723</v>
      </c>
      <c r="Q130" s="603"/>
      <c r="R130" s="603"/>
      <c r="S130" s="604"/>
      <c r="T130" s="308">
        <f>PCS!D130</f>
        <v>664011.85522999766</v>
      </c>
      <c r="U130" s="303">
        <f>Police!U130</f>
        <v>20513.376850036911</v>
      </c>
      <c r="V130" s="336">
        <f t="shared" si="9"/>
        <v>5037464.4001843072</v>
      </c>
      <c r="W130" s="180"/>
      <c r="X130" s="180"/>
      <c r="Y130" s="180"/>
      <c r="Z130" s="15"/>
    </row>
    <row r="131" spans="1:26" x14ac:dyDescent="0.25">
      <c r="A131" s="111">
        <f>Données!A131</f>
        <v>5624</v>
      </c>
      <c r="B131" s="119" t="str">
        <f>Données!B131</f>
        <v>Bussigny</v>
      </c>
      <c r="C131" s="307">
        <f>Ressources!H131</f>
        <v>-10473523.649078161</v>
      </c>
      <c r="D131" s="307">
        <f>Ressources!L131</f>
        <v>0</v>
      </c>
      <c r="E131" s="335">
        <f>Ressources!T131</f>
        <v>-1629857.9097304987</v>
      </c>
      <c r="F131" s="308">
        <f t="shared" si="5"/>
        <v>-12103381.558808658</v>
      </c>
      <c r="G131" s="307">
        <f>'Besoins structurels'!I131</f>
        <v>0</v>
      </c>
      <c r="H131" s="307">
        <f>'Besoins structurels'!N131</f>
        <v>0</v>
      </c>
      <c r="I131" s="307">
        <f>'Besoins structurels'!V131</f>
        <v>0</v>
      </c>
      <c r="J131" s="309">
        <f t="shared" si="6"/>
        <v>0</v>
      </c>
      <c r="K131" s="307">
        <f>'Charges des villes'!N131</f>
        <v>229056.96650289744</v>
      </c>
      <c r="L131" s="307">
        <f>'Charges des villes'!U131</f>
        <v>-630828.85100925784</v>
      </c>
      <c r="M131" s="302">
        <f t="shared" si="7"/>
        <v>-401771.88450636039</v>
      </c>
      <c r="N131" s="308">
        <f>-VLOOKUP(A131,Paramètres!$B$23:$C$322,2,FALSE)*$N$5</f>
        <v>0</v>
      </c>
      <c r="O131" s="322"/>
      <c r="P131" s="602">
        <f t="shared" si="8"/>
        <v>-12505153.443315018</v>
      </c>
      <c r="Q131" s="603"/>
      <c r="R131" s="603"/>
      <c r="S131" s="604"/>
      <c r="T131" s="308">
        <f>PCS!D131</f>
        <v>11817853.224020105</v>
      </c>
      <c r="U131" s="303">
        <f>Police!U131</f>
        <v>365089.98270637542</v>
      </c>
      <c r="V131" s="336">
        <f t="shared" si="9"/>
        <v>-322210.23658853769</v>
      </c>
      <c r="W131" s="180"/>
      <c r="X131" s="180"/>
      <c r="Y131" s="180"/>
      <c r="Z131" s="15"/>
    </row>
    <row r="132" spans="1:26" x14ac:dyDescent="0.25">
      <c r="A132" s="111">
        <f>Données!A132</f>
        <v>5627</v>
      </c>
      <c r="B132" s="119" t="str">
        <f>Données!B132</f>
        <v>Chavannes-près-Renens</v>
      </c>
      <c r="C132" s="307">
        <f>Ressources!H132</f>
        <v>-16169720.604441939</v>
      </c>
      <c r="D132" s="307">
        <f>Ressources!L132</f>
        <v>-325186</v>
      </c>
      <c r="E132" s="335">
        <f>Ressources!T132</f>
        <v>-2064045.3236016561</v>
      </c>
      <c r="F132" s="308">
        <f t="shared" si="5"/>
        <v>-18558951.928043596</v>
      </c>
      <c r="G132" s="307">
        <f>'Besoins structurels'!I132</f>
        <v>0</v>
      </c>
      <c r="H132" s="307">
        <f>'Besoins structurels'!N132</f>
        <v>0</v>
      </c>
      <c r="I132" s="307">
        <f>'Besoins structurels'!V132</f>
        <v>0</v>
      </c>
      <c r="J132" s="309">
        <f t="shared" si="6"/>
        <v>0</v>
      </c>
      <c r="K132" s="307">
        <f>'Charges des villes'!N132</f>
        <v>380792.21370967198</v>
      </c>
      <c r="L132" s="307">
        <f>'Charges des villes'!U132</f>
        <v>-786672.89287760411</v>
      </c>
      <c r="M132" s="302">
        <f t="shared" si="7"/>
        <v>-405880.67916793213</v>
      </c>
      <c r="N132" s="308">
        <f>-VLOOKUP(A132,Paramètres!$B$23:$C$322,2,FALSE)*$N$5</f>
        <v>0</v>
      </c>
      <c r="O132" s="322"/>
      <c r="P132" s="602">
        <f t="shared" si="8"/>
        <v>-18964832.60721153</v>
      </c>
      <c r="Q132" s="603"/>
      <c r="R132" s="603"/>
      <c r="S132" s="604"/>
      <c r="T132" s="308">
        <f>PCS!D132</f>
        <v>10451858.161134934</v>
      </c>
      <c r="U132" s="303">
        <f>Police!U132</f>
        <v>322890.17666443728</v>
      </c>
      <c r="V132" s="336">
        <f t="shared" si="9"/>
        <v>-8190084.269412159</v>
      </c>
      <c r="W132" s="180"/>
      <c r="X132" s="180"/>
      <c r="Y132" s="180"/>
      <c r="Z132" s="15"/>
    </row>
    <row r="133" spans="1:26" x14ac:dyDescent="0.25">
      <c r="A133" s="111">
        <f>Données!A133</f>
        <v>5628</v>
      </c>
      <c r="B133" s="119" t="str">
        <f>Données!B133</f>
        <v>Chigny</v>
      </c>
      <c r="C133" s="307">
        <f>Ressources!H133</f>
        <v>429485.23716515821</v>
      </c>
      <c r="D133" s="307">
        <f>Ressources!L133</f>
        <v>0</v>
      </c>
      <c r="E133" s="335">
        <f>Ressources!T133</f>
        <v>-43895.373202298935</v>
      </c>
      <c r="F133" s="308">
        <f t="shared" si="5"/>
        <v>385589.86396285926</v>
      </c>
      <c r="G133" s="307">
        <f>'Besoins structurels'!I133</f>
        <v>0</v>
      </c>
      <c r="H133" s="307">
        <f>'Besoins structurels'!N133</f>
        <v>0</v>
      </c>
      <c r="I133" s="307">
        <f>'Besoins structurels'!V133</f>
        <v>-3239</v>
      </c>
      <c r="J133" s="309">
        <f t="shared" si="6"/>
        <v>-3239</v>
      </c>
      <c r="K133" s="307">
        <f>'Charges des villes'!N133</f>
        <v>190368.99006179316</v>
      </c>
      <c r="L133" s="307">
        <f>'Charges des villes'!U133</f>
        <v>41474.259703789685</v>
      </c>
      <c r="M133" s="302">
        <f t="shared" si="7"/>
        <v>231843.24976558285</v>
      </c>
      <c r="N133" s="308">
        <f>-VLOOKUP(A133,Paramètres!$B$23:$C$322,2,FALSE)*$N$5</f>
        <v>0</v>
      </c>
      <c r="O133" s="322"/>
      <c r="P133" s="602">
        <f t="shared" si="8"/>
        <v>614194.11372844211</v>
      </c>
      <c r="Q133" s="603"/>
      <c r="R133" s="603"/>
      <c r="S133" s="604"/>
      <c r="T133" s="308">
        <f>PCS!D133</f>
        <v>399186.01267492527</v>
      </c>
      <c r="U133" s="303">
        <f>Police!U133</f>
        <v>59440.369024297972</v>
      </c>
      <c r="V133" s="336">
        <f t="shared" si="9"/>
        <v>1072820.4954276653</v>
      </c>
      <c r="W133" s="180"/>
      <c r="X133" s="180"/>
      <c r="Y133" s="180"/>
      <c r="Z133" s="15"/>
    </row>
    <row r="134" spans="1:26" x14ac:dyDescent="0.25">
      <c r="A134" s="111">
        <f>Données!A134</f>
        <v>5629</v>
      </c>
      <c r="B134" s="119" t="str">
        <f>Données!B134</f>
        <v>Clarmont</v>
      </c>
      <c r="C134" s="307">
        <f>Ressources!H134</f>
        <v>-142309.99950777669</v>
      </c>
      <c r="D134" s="307">
        <f>Ressources!L134</f>
        <v>0</v>
      </c>
      <c r="E134" s="335">
        <f>Ressources!T134</f>
        <v>-59548.70932422769</v>
      </c>
      <c r="F134" s="308">
        <f t="shared" si="5"/>
        <v>-201858.7088320044</v>
      </c>
      <c r="G134" s="307">
        <f>'Besoins structurels'!I134</f>
        <v>0</v>
      </c>
      <c r="H134" s="307">
        <f>'Besoins structurels'!N134</f>
        <v>0</v>
      </c>
      <c r="I134" s="307">
        <f>'Besoins structurels'!V134</f>
        <v>0</v>
      </c>
      <c r="J134" s="309">
        <f t="shared" si="6"/>
        <v>0</v>
      </c>
      <c r="K134" s="307">
        <f>'Charges des villes'!N134</f>
        <v>107720.9894983805</v>
      </c>
      <c r="L134" s="307">
        <f>'Charges des villes'!U134</f>
        <v>23468.36158848587</v>
      </c>
      <c r="M134" s="302">
        <f t="shared" si="7"/>
        <v>131189.35108686637</v>
      </c>
      <c r="N134" s="308">
        <f>-VLOOKUP(A134,Paramètres!$B$23:$C$322,2,FALSE)*$N$5</f>
        <v>-25400</v>
      </c>
      <c r="O134" s="322"/>
      <c r="P134" s="602">
        <f t="shared" si="8"/>
        <v>-96069.357745138026</v>
      </c>
      <c r="Q134" s="603"/>
      <c r="R134" s="603"/>
      <c r="S134" s="604"/>
      <c r="T134" s="308">
        <f>PCS!D134</f>
        <v>225880.86570873822</v>
      </c>
      <c r="U134" s="303">
        <f>Police!U134</f>
        <v>33634.550277163733</v>
      </c>
      <c r="V134" s="336">
        <f t="shared" si="9"/>
        <v>163446.05824076393</v>
      </c>
      <c r="W134" s="180"/>
      <c r="X134" s="180"/>
      <c r="Y134" s="180"/>
      <c r="Z134" s="15"/>
    </row>
    <row r="135" spans="1:26" x14ac:dyDescent="0.25">
      <c r="A135" s="111">
        <f>Données!A135</f>
        <v>5631</v>
      </c>
      <c r="B135" s="119" t="str">
        <f>Données!B135</f>
        <v>Denens</v>
      </c>
      <c r="C135" s="307">
        <f>Ressources!H135</f>
        <v>525532.7912251472</v>
      </c>
      <c r="D135" s="307">
        <f>Ressources!L135</f>
        <v>0</v>
      </c>
      <c r="E135" s="335">
        <f>Ressources!T135</f>
        <v>172335.69252361075</v>
      </c>
      <c r="F135" s="308">
        <f t="shared" si="5"/>
        <v>697868.48374875798</v>
      </c>
      <c r="G135" s="307">
        <f>'Besoins structurels'!I135</f>
        <v>0</v>
      </c>
      <c r="H135" s="307">
        <f>'Besoins structurels'!N135</f>
        <v>0</v>
      </c>
      <c r="I135" s="307">
        <f>'Besoins structurels'!V135</f>
        <v>0</v>
      </c>
      <c r="J135" s="309">
        <f t="shared" si="6"/>
        <v>0</v>
      </c>
      <c r="K135" s="307">
        <f>'Charges des villes'!N135</f>
        <v>347307.32821029576</v>
      </c>
      <c r="L135" s="307">
        <f>'Charges des villes'!U135</f>
        <v>75665.234776669953</v>
      </c>
      <c r="M135" s="302">
        <f t="shared" si="7"/>
        <v>422972.5629869657</v>
      </c>
      <c r="N135" s="308">
        <f>-VLOOKUP(A135,Paramètres!$B$23:$C$322,2,FALSE)*$N$5</f>
        <v>0</v>
      </c>
      <c r="O135" s="322"/>
      <c r="P135" s="602">
        <f t="shared" si="8"/>
        <v>1120841.0467357237</v>
      </c>
      <c r="Q135" s="603"/>
      <c r="R135" s="603"/>
      <c r="S135" s="604"/>
      <c r="T135" s="308">
        <f>PCS!D135</f>
        <v>728271.06702644913</v>
      </c>
      <c r="U135" s="303">
        <f>Police!U135</f>
        <v>108442.42934188996</v>
      </c>
      <c r="V135" s="336">
        <f t="shared" si="9"/>
        <v>1957554.5431040628</v>
      </c>
      <c r="W135" s="180"/>
      <c r="X135" s="180"/>
      <c r="Y135" s="180"/>
      <c r="Z135" s="15"/>
    </row>
    <row r="136" spans="1:26" x14ac:dyDescent="0.25">
      <c r="A136" s="111">
        <f>Données!A136</f>
        <v>5632</v>
      </c>
      <c r="B136" s="119" t="str">
        <f>Données!B136</f>
        <v>Denges</v>
      </c>
      <c r="C136" s="307">
        <f>Ressources!H136</f>
        <v>-574959.64739881107</v>
      </c>
      <c r="D136" s="307">
        <f>Ressources!L136</f>
        <v>0</v>
      </c>
      <c r="E136" s="335">
        <f>Ressources!T136</f>
        <v>378042.24106088001</v>
      </c>
      <c r="F136" s="308">
        <f t="shared" si="5"/>
        <v>-196917.40633793105</v>
      </c>
      <c r="G136" s="307">
        <f>'Besoins structurels'!I136</f>
        <v>0</v>
      </c>
      <c r="H136" s="307">
        <f>'Besoins structurels'!N136</f>
        <v>0</v>
      </c>
      <c r="I136" s="307">
        <f>'Besoins structurels'!V136</f>
        <v>0</v>
      </c>
      <c r="J136" s="309">
        <f t="shared" si="6"/>
        <v>0</v>
      </c>
      <c r="K136" s="307">
        <f>'Charges des villes'!N136</f>
        <v>653711.27419931965</v>
      </c>
      <c r="L136" s="307">
        <f>'Charges des villes'!U136</f>
        <v>-122229.67903966934</v>
      </c>
      <c r="M136" s="302">
        <f t="shared" si="7"/>
        <v>531481.59515965031</v>
      </c>
      <c r="N136" s="308">
        <f>-VLOOKUP(A136,Paramètres!$B$23:$C$322,2,FALSE)*$N$5</f>
        <v>0</v>
      </c>
      <c r="O136" s="322"/>
      <c r="P136" s="602">
        <f t="shared" si="8"/>
        <v>334564.18882171926</v>
      </c>
      <c r="Q136" s="603"/>
      <c r="R136" s="603"/>
      <c r="S136" s="604"/>
      <c r="T136" s="308">
        <f>PCS!D136</f>
        <v>1795363.4326160054</v>
      </c>
      <c r="U136" s="303">
        <f>Police!U136</f>
        <v>288013.99587447674</v>
      </c>
      <c r="V136" s="336">
        <f t="shared" si="9"/>
        <v>2417941.6173122013</v>
      </c>
      <c r="W136" s="180"/>
      <c r="X136" s="180"/>
      <c r="Y136" s="180"/>
      <c r="Z136" s="15"/>
    </row>
    <row r="137" spans="1:26" x14ac:dyDescent="0.25">
      <c r="A137" s="111">
        <f>Données!A137</f>
        <v>5633</v>
      </c>
      <c r="B137" s="119" t="str">
        <f>Données!B137</f>
        <v>Echandens</v>
      </c>
      <c r="C137" s="307">
        <f>Ressources!H137</f>
        <v>-585486.51426211221</v>
      </c>
      <c r="D137" s="307">
        <f>Ressources!L137</f>
        <v>0</v>
      </c>
      <c r="E137" s="335">
        <f>Ressources!T137</f>
        <v>-335063.87833747192</v>
      </c>
      <c r="F137" s="308">
        <f t="shared" ref="F137:F200" si="10">SUM(C137:E137)</f>
        <v>-920550.39259958407</v>
      </c>
      <c r="G137" s="307">
        <f>'Besoins structurels'!I137</f>
        <v>0</v>
      </c>
      <c r="H137" s="307">
        <f>'Besoins structurels'!N137</f>
        <v>0</v>
      </c>
      <c r="I137" s="307">
        <f>'Besoins structurels'!V137</f>
        <v>0</v>
      </c>
      <c r="J137" s="309">
        <f t="shared" ref="J137:J200" si="11">SUM(G137:I137)</f>
        <v>0</v>
      </c>
      <c r="K137" s="307">
        <f>'Charges des villes'!N137</f>
        <v>905138.64692264481</v>
      </c>
      <c r="L137" s="307">
        <f>'Charges des villes'!U137</f>
        <v>-289733.59758426383</v>
      </c>
      <c r="M137" s="302">
        <f t="shared" ref="M137:M200" si="12">SUM(K137:L137)</f>
        <v>615405.04933838104</v>
      </c>
      <c r="N137" s="308">
        <f>-VLOOKUP(A137,Paramètres!$B$23:$C$322,2,FALSE)*$N$5</f>
        <v>0</v>
      </c>
      <c r="O137" s="322"/>
      <c r="P137" s="602">
        <f t="shared" ref="P137:P200" si="13">F137+J137+M137+N137</f>
        <v>-305145.34326120303</v>
      </c>
      <c r="Q137" s="603"/>
      <c r="R137" s="603"/>
      <c r="S137" s="604"/>
      <c r="T137" s="308">
        <f>PCS!D137</f>
        <v>3033813.6963294321</v>
      </c>
      <c r="U137" s="303">
        <f>Police!U137</f>
        <v>505008.03183436114</v>
      </c>
      <c r="V137" s="336">
        <f t="shared" ref="V137:V200" si="14">P137+T137+U137</f>
        <v>3233676.38490259</v>
      </c>
      <c r="W137" s="180"/>
      <c r="X137" s="180"/>
      <c r="Y137" s="180"/>
      <c r="Z137" s="15"/>
    </row>
    <row r="138" spans="1:26" x14ac:dyDescent="0.25">
      <c r="A138" s="111">
        <f>Données!A138</f>
        <v>5634</v>
      </c>
      <c r="B138" s="119" t="str">
        <f>Données!B138</f>
        <v>Echichens</v>
      </c>
      <c r="C138" s="307">
        <f>Ressources!H138</f>
        <v>258668.90682575092</v>
      </c>
      <c r="D138" s="307">
        <f>Ressources!L138</f>
        <v>0</v>
      </c>
      <c r="E138" s="335">
        <f>Ressources!T138</f>
        <v>26321.34275938815</v>
      </c>
      <c r="F138" s="308">
        <f t="shared" si="10"/>
        <v>284990.2495851391</v>
      </c>
      <c r="G138" s="307">
        <f>'Besoins structurels'!I138</f>
        <v>0</v>
      </c>
      <c r="H138" s="307">
        <f>'Besoins structurels'!N138</f>
        <v>0</v>
      </c>
      <c r="I138" s="307">
        <f>'Besoins structurels'!V138</f>
        <v>-19780</v>
      </c>
      <c r="J138" s="309">
        <f t="shared" si="11"/>
        <v>-19780</v>
      </c>
      <c r="K138" s="307">
        <f>'Charges des villes'!N138</f>
        <v>896536.03448641673</v>
      </c>
      <c r="L138" s="307">
        <f>'Charges des villes'!U138</f>
        <v>114291.06886023688</v>
      </c>
      <c r="M138" s="302">
        <f t="shared" si="12"/>
        <v>1010827.1033466536</v>
      </c>
      <c r="N138" s="308">
        <f>-VLOOKUP(A138,Paramètres!$B$23:$C$322,2,FALSE)*$N$5</f>
        <v>0</v>
      </c>
      <c r="O138" s="322"/>
      <c r="P138" s="602">
        <f t="shared" si="13"/>
        <v>1276037.3529317928</v>
      </c>
      <c r="Q138" s="603"/>
      <c r="R138" s="603"/>
      <c r="S138" s="604"/>
      <c r="T138" s="308">
        <f>PCS!D138</f>
        <v>3155516.7489742264</v>
      </c>
      <c r="U138" s="303">
        <f>Police!U138</f>
        <v>527723.69266768335</v>
      </c>
      <c r="V138" s="336">
        <f t="shared" si="14"/>
        <v>4959277.7945737028</v>
      </c>
      <c r="W138" s="180"/>
      <c r="X138" s="180"/>
      <c r="Y138" s="180"/>
      <c r="Z138" s="15"/>
    </row>
    <row r="139" spans="1:26" x14ac:dyDescent="0.25">
      <c r="A139" s="111">
        <f>Données!A139</f>
        <v>5635</v>
      </c>
      <c r="B139" s="119" t="str">
        <f>Données!B139</f>
        <v>Ecublens</v>
      </c>
      <c r="C139" s="307">
        <f>Ressources!H139</f>
        <v>-7393930.2936188374</v>
      </c>
      <c r="D139" s="307">
        <f>Ressources!L139</f>
        <v>0</v>
      </c>
      <c r="E139" s="335">
        <f>Ressources!T139</f>
        <v>-1429741.3481151918</v>
      </c>
      <c r="F139" s="308">
        <f t="shared" si="10"/>
        <v>-8823671.6417340301</v>
      </c>
      <c r="G139" s="307">
        <f>'Besoins structurels'!I139</f>
        <v>0</v>
      </c>
      <c r="H139" s="307">
        <f>'Besoins structurels'!N139</f>
        <v>0</v>
      </c>
      <c r="I139" s="307">
        <f>'Besoins structurels'!V139</f>
        <v>0</v>
      </c>
      <c r="J139" s="309">
        <f t="shared" si="11"/>
        <v>0</v>
      </c>
      <c r="K139" s="307">
        <f>'Charges des villes'!N139</f>
        <v>-530192.53458753135</v>
      </c>
      <c r="L139" s="307">
        <f>'Charges des villes'!U139</f>
        <v>-1558920.2503165861</v>
      </c>
      <c r="M139" s="302">
        <f t="shared" si="12"/>
        <v>-2089112.7849041175</v>
      </c>
      <c r="N139" s="308">
        <f>-VLOOKUP(A139,Paramètres!$B$23:$C$322,2,FALSE)*$N$5</f>
        <v>0</v>
      </c>
      <c r="O139" s="322"/>
      <c r="P139" s="602">
        <f t="shared" si="13"/>
        <v>-10912784.426638147</v>
      </c>
      <c r="Q139" s="603"/>
      <c r="R139" s="603"/>
      <c r="S139" s="604"/>
      <c r="T139" s="308">
        <f>PCS!D139</f>
        <v>13395124.78629664</v>
      </c>
      <c r="U139" s="303">
        <f>Police!U139</f>
        <v>413816.77229150705</v>
      </c>
      <c r="V139" s="336">
        <f t="shared" si="14"/>
        <v>2896157.1319499998</v>
      </c>
      <c r="W139" s="180"/>
      <c r="X139" s="180"/>
      <c r="Y139" s="180"/>
      <c r="Z139" s="15"/>
    </row>
    <row r="140" spans="1:26" x14ac:dyDescent="0.25">
      <c r="A140" s="111">
        <f>Données!A140</f>
        <v>5636</v>
      </c>
      <c r="B140" s="119" t="str">
        <f>Données!B140</f>
        <v>Etoy</v>
      </c>
      <c r="C140" s="307">
        <f>Ressources!H140</f>
        <v>9166873.9784011822</v>
      </c>
      <c r="D140" s="307">
        <f>Ressources!L140</f>
        <v>0</v>
      </c>
      <c r="E140" s="335">
        <f>Ressources!T140</f>
        <v>454288.84519871545</v>
      </c>
      <c r="F140" s="308">
        <f t="shared" si="10"/>
        <v>9621162.8235998973</v>
      </c>
      <c r="G140" s="307">
        <f>'Besoins structurels'!I140</f>
        <v>0</v>
      </c>
      <c r="H140" s="307">
        <f>'Besoins structurels'!N140</f>
        <v>0</v>
      </c>
      <c r="I140" s="307">
        <f>'Besoins structurels'!V140</f>
        <v>0</v>
      </c>
      <c r="J140" s="309">
        <f t="shared" si="11"/>
        <v>0</v>
      </c>
      <c r="K140" s="307">
        <f>'Charges des villes'!N140</f>
        <v>912227.19957009656</v>
      </c>
      <c r="L140" s="307">
        <f>'Charges des villes'!U140</f>
        <v>304785.23045736173</v>
      </c>
      <c r="M140" s="302">
        <f t="shared" si="12"/>
        <v>1217012.4300274584</v>
      </c>
      <c r="N140" s="308">
        <f>-VLOOKUP(A140,Paramètres!$B$23:$C$322,2,FALSE)*$N$5</f>
        <v>0</v>
      </c>
      <c r="O140" s="322"/>
      <c r="P140" s="602">
        <f t="shared" si="13"/>
        <v>10838175.253627356</v>
      </c>
      <c r="Q140" s="603"/>
      <c r="R140" s="603"/>
      <c r="S140" s="604"/>
      <c r="T140" s="308">
        <f>PCS!D140</f>
        <v>2933530.3809501217</v>
      </c>
      <c r="U140" s="303">
        <f>Police!U140</f>
        <v>486290.32730770367</v>
      </c>
      <c r="V140" s="336">
        <f t="shared" si="14"/>
        <v>14257995.96188518</v>
      </c>
      <c r="W140" s="180"/>
      <c r="X140" s="180"/>
      <c r="Y140" s="180"/>
      <c r="Z140" s="15"/>
    </row>
    <row r="141" spans="1:26" x14ac:dyDescent="0.25">
      <c r="A141" s="111">
        <f>Données!A141</f>
        <v>5637</v>
      </c>
      <c r="B141" s="119" t="str">
        <f>Données!B141</f>
        <v>Lavigny</v>
      </c>
      <c r="C141" s="307">
        <f>Ressources!H141</f>
        <v>-850015.99846809974</v>
      </c>
      <c r="D141" s="307">
        <f>Ressources!L141</f>
        <v>0</v>
      </c>
      <c r="E141" s="335">
        <f>Ressources!T141</f>
        <v>-100784.99211743224</v>
      </c>
      <c r="F141" s="308">
        <f t="shared" si="10"/>
        <v>-950800.99058553204</v>
      </c>
      <c r="G141" s="307">
        <f>'Besoins structurels'!I141</f>
        <v>0</v>
      </c>
      <c r="H141" s="307">
        <f>'Besoins structurels'!N141</f>
        <v>0</v>
      </c>
      <c r="I141" s="307">
        <f>'Besoins structurels'!V141</f>
        <v>0</v>
      </c>
      <c r="J141" s="309">
        <f t="shared" si="11"/>
        <v>0</v>
      </c>
      <c r="K141" s="307">
        <f>'Charges des villes'!N141</f>
        <v>488550.20202007174</v>
      </c>
      <c r="L141" s="307">
        <f>'Charges des villes'!U141</f>
        <v>112081.65793121699</v>
      </c>
      <c r="M141" s="302">
        <f t="shared" si="12"/>
        <v>600631.85995128867</v>
      </c>
      <c r="N141" s="308">
        <f>-VLOOKUP(A141,Paramètres!$B$23:$C$322,2,FALSE)*$N$5</f>
        <v>-400</v>
      </c>
      <c r="O141" s="322"/>
      <c r="P141" s="602">
        <f t="shared" si="13"/>
        <v>-350569.13063424337</v>
      </c>
      <c r="Q141" s="603"/>
      <c r="R141" s="603"/>
      <c r="S141" s="604"/>
      <c r="T141" s="308">
        <f>PCS!D141</f>
        <v>1078775.8586434566</v>
      </c>
      <c r="U141" s="303">
        <f>Police!U141</f>
        <v>163279.88480870749</v>
      </c>
      <c r="V141" s="336">
        <f t="shared" si="14"/>
        <v>891486.61281792074</v>
      </c>
      <c r="W141" s="180"/>
      <c r="X141" s="180"/>
      <c r="Y141" s="180"/>
      <c r="Z141" s="15"/>
    </row>
    <row r="142" spans="1:26" x14ac:dyDescent="0.25">
      <c r="A142" s="111">
        <f>Données!A142</f>
        <v>5638</v>
      </c>
      <c r="B142" s="119" t="str">
        <f>Données!B142</f>
        <v>Lonay</v>
      </c>
      <c r="C142" s="307">
        <f>Ressources!H142</f>
        <v>1208952.8784331859</v>
      </c>
      <c r="D142" s="307">
        <f>Ressources!L142</f>
        <v>0</v>
      </c>
      <c r="E142" s="335">
        <f>Ressources!T142</f>
        <v>885736.38873890066</v>
      </c>
      <c r="F142" s="308">
        <f t="shared" si="10"/>
        <v>2094689.2671720865</v>
      </c>
      <c r="G142" s="307">
        <f>'Besoins structurels'!I142</f>
        <v>0</v>
      </c>
      <c r="H142" s="307">
        <f>'Besoins structurels'!N142</f>
        <v>0</v>
      </c>
      <c r="I142" s="307">
        <f>'Besoins structurels'!V142</f>
        <v>0</v>
      </c>
      <c r="J142" s="309">
        <f t="shared" si="11"/>
        <v>0</v>
      </c>
      <c r="K142" s="307">
        <f>'Charges des villes'!N142</f>
        <v>850064.45104285469</v>
      </c>
      <c r="L142" s="307">
        <f>'Charges des villes'!U142</f>
        <v>-328095.74527830671</v>
      </c>
      <c r="M142" s="302">
        <f t="shared" si="12"/>
        <v>521968.70576454798</v>
      </c>
      <c r="N142" s="308">
        <f>-VLOOKUP(A142,Paramètres!$B$23:$C$322,2,FALSE)*$N$5</f>
        <v>0</v>
      </c>
      <c r="O142" s="322"/>
      <c r="P142" s="602">
        <f t="shared" si="13"/>
        <v>2616657.9729366344</v>
      </c>
      <c r="Q142" s="603"/>
      <c r="R142" s="603"/>
      <c r="S142" s="604"/>
      <c r="T142" s="308">
        <f>PCS!D142</f>
        <v>2647284.8011295656</v>
      </c>
      <c r="U142" s="303">
        <f>Police!U142</f>
        <v>436305.22845946049</v>
      </c>
      <c r="V142" s="336">
        <f t="shared" si="14"/>
        <v>5700248.0025256611</v>
      </c>
      <c r="W142" s="180"/>
      <c r="X142" s="180"/>
      <c r="Y142" s="180"/>
      <c r="Z142" s="15"/>
    </row>
    <row r="143" spans="1:26" x14ac:dyDescent="0.25">
      <c r="A143" s="111">
        <f>Données!A143</f>
        <v>5639</v>
      </c>
      <c r="B143" s="119" t="str">
        <f>Données!B143</f>
        <v>Lully</v>
      </c>
      <c r="C143" s="307">
        <f>Ressources!H143</f>
        <v>873285.30456571572</v>
      </c>
      <c r="D143" s="307">
        <f>Ressources!L143</f>
        <v>0</v>
      </c>
      <c r="E143" s="335">
        <f>Ressources!T143</f>
        <v>-48652.6582894983</v>
      </c>
      <c r="F143" s="308">
        <f t="shared" si="10"/>
        <v>824632.64627621742</v>
      </c>
      <c r="G143" s="307">
        <f>'Besoins structurels'!I143</f>
        <v>0</v>
      </c>
      <c r="H143" s="307">
        <f>'Besoins structurels'!N143</f>
        <v>0</v>
      </c>
      <c r="I143" s="307">
        <f>'Besoins structurels'!V143</f>
        <v>-7994</v>
      </c>
      <c r="J143" s="309">
        <f t="shared" si="11"/>
        <v>-7994</v>
      </c>
      <c r="K143" s="307">
        <f>'Charges des villes'!N143</f>
        <v>382595.23856321356</v>
      </c>
      <c r="L143" s="307">
        <f>'Charges des villes'!U143</f>
        <v>-13319.899180045279</v>
      </c>
      <c r="M143" s="302">
        <f t="shared" si="12"/>
        <v>369275.33938316826</v>
      </c>
      <c r="N143" s="308">
        <f>-VLOOKUP(A143,Paramètres!$B$23:$C$322,2,FALSE)*$N$5</f>
        <v>0</v>
      </c>
      <c r="O143" s="322"/>
      <c r="P143" s="602">
        <f t="shared" si="13"/>
        <v>1185913.9856593856</v>
      </c>
      <c r="Q143" s="603"/>
      <c r="R143" s="603"/>
      <c r="S143" s="604"/>
      <c r="T143" s="308">
        <f>PCS!D143</f>
        <v>802266.52303448401</v>
      </c>
      <c r="U143" s="303">
        <f>Police!U143</f>
        <v>119460.64408785739</v>
      </c>
      <c r="V143" s="336">
        <f t="shared" si="14"/>
        <v>2107641.1527817273</v>
      </c>
      <c r="W143" s="180"/>
      <c r="X143" s="180"/>
      <c r="Y143" s="180"/>
      <c r="Z143" s="15"/>
    </row>
    <row r="144" spans="1:26" x14ac:dyDescent="0.25">
      <c r="A144" s="111">
        <f>Données!A144</f>
        <v>5640</v>
      </c>
      <c r="B144" s="119" t="str">
        <f>Données!B144</f>
        <v>Lussy-sur-Morges</v>
      </c>
      <c r="C144" s="307">
        <f>Ressources!H144</f>
        <v>1512937.5589452677</v>
      </c>
      <c r="D144" s="307">
        <f>Ressources!L144</f>
        <v>0</v>
      </c>
      <c r="E144" s="335">
        <f>Ressources!T144</f>
        <v>-130698.12975331102</v>
      </c>
      <c r="F144" s="308">
        <f t="shared" si="10"/>
        <v>1382239.4291919568</v>
      </c>
      <c r="G144" s="307">
        <f>'Besoins structurels'!I144</f>
        <v>0</v>
      </c>
      <c r="H144" s="307">
        <f>'Besoins structurels'!N144</f>
        <v>0</v>
      </c>
      <c r="I144" s="307">
        <f>'Besoins structurels'!V144</f>
        <v>-75502</v>
      </c>
      <c r="J144" s="309">
        <f t="shared" si="11"/>
        <v>-75502</v>
      </c>
      <c r="K144" s="307">
        <f>'Charges des villes'!N144</f>
        <v>334770.83374281181</v>
      </c>
      <c r="L144" s="307">
        <f>'Charges des villes'!U144</f>
        <v>-35085.564461152855</v>
      </c>
      <c r="M144" s="302">
        <f t="shared" si="12"/>
        <v>299685.26928165893</v>
      </c>
      <c r="N144" s="308">
        <f>-VLOOKUP(A144,Paramètres!$B$23:$C$322,2,FALSE)*$N$5</f>
        <v>0</v>
      </c>
      <c r="O144" s="322"/>
      <c r="P144" s="602">
        <f t="shared" si="13"/>
        <v>1606422.6984736156</v>
      </c>
      <c r="Q144" s="603"/>
      <c r="R144" s="603"/>
      <c r="S144" s="604"/>
      <c r="T144" s="308">
        <f>PCS!D144</f>
        <v>701983.20765517349</v>
      </c>
      <c r="U144" s="303">
        <f>Police!U144</f>
        <v>21686.429191901192</v>
      </c>
      <c r="V144" s="336">
        <f t="shared" si="14"/>
        <v>2330092.3353206906</v>
      </c>
      <c r="W144" s="180"/>
      <c r="X144" s="180"/>
      <c r="Y144" s="180"/>
      <c r="Z144" s="15"/>
    </row>
    <row r="145" spans="1:26" x14ac:dyDescent="0.25">
      <c r="A145" s="111">
        <f>Données!A145</f>
        <v>5642</v>
      </c>
      <c r="B145" s="119" t="str">
        <f>Données!B145</f>
        <v>Morges</v>
      </c>
      <c r="C145" s="307">
        <f>Ressources!H145</f>
        <v>-117278.05504750051</v>
      </c>
      <c r="D145" s="307">
        <f>Ressources!L145</f>
        <v>0</v>
      </c>
      <c r="E145" s="335">
        <f>Ressources!T145</f>
        <v>-383997.46893305052</v>
      </c>
      <c r="F145" s="308">
        <f t="shared" si="10"/>
        <v>-501275.52398055105</v>
      </c>
      <c r="G145" s="307">
        <f>'Besoins structurels'!I145</f>
        <v>0</v>
      </c>
      <c r="H145" s="307">
        <f>'Besoins structurels'!N145</f>
        <v>0</v>
      </c>
      <c r="I145" s="307">
        <f>'Besoins structurels'!V145</f>
        <v>0</v>
      </c>
      <c r="J145" s="309">
        <f t="shared" si="11"/>
        <v>0</v>
      </c>
      <c r="K145" s="307">
        <f>'Charges des villes'!N145</f>
        <v>-2580630.6687645651</v>
      </c>
      <c r="L145" s="307">
        <f>'Charges des villes'!U145</f>
        <v>-953612.8079011743</v>
      </c>
      <c r="M145" s="302">
        <f t="shared" si="12"/>
        <v>-3534243.4766657394</v>
      </c>
      <c r="N145" s="308">
        <f>-VLOOKUP(A145,Paramètres!$B$23:$C$322,2,FALSE)*$N$5</f>
        <v>0</v>
      </c>
      <c r="O145" s="322"/>
      <c r="P145" s="602">
        <f t="shared" si="13"/>
        <v>-4035519.0006462904</v>
      </c>
      <c r="Q145" s="603"/>
      <c r="R145" s="603"/>
      <c r="S145" s="604"/>
      <c r="T145" s="308">
        <f>PCS!D145</f>
        <v>17343171.814093765</v>
      </c>
      <c r="U145" s="303">
        <f>Police!U145</f>
        <v>535784.13758021628</v>
      </c>
      <c r="V145" s="336">
        <f t="shared" si="14"/>
        <v>13843436.951027691</v>
      </c>
      <c r="W145" s="180"/>
      <c r="X145" s="180"/>
      <c r="Y145" s="180"/>
      <c r="Z145" s="15"/>
    </row>
    <row r="146" spans="1:26" x14ac:dyDescent="0.25">
      <c r="A146" s="111">
        <f>Données!A146</f>
        <v>5643</v>
      </c>
      <c r="B146" s="119" t="str">
        <f>Données!B146</f>
        <v>Préverenges</v>
      </c>
      <c r="C146" s="307">
        <f>Ressources!H146</f>
        <v>1311849.9380879521</v>
      </c>
      <c r="D146" s="307">
        <f>Ressources!L146</f>
        <v>0</v>
      </c>
      <c r="E146" s="335">
        <f>Ressources!T146</f>
        <v>-589357.96733472473</v>
      </c>
      <c r="F146" s="308">
        <f t="shared" si="10"/>
        <v>722491.97075322736</v>
      </c>
      <c r="G146" s="307">
        <f>'Besoins structurels'!I146</f>
        <v>0</v>
      </c>
      <c r="H146" s="307">
        <f>'Besoins structurels'!N146</f>
        <v>0</v>
      </c>
      <c r="I146" s="307">
        <f>'Besoins structurels'!V146</f>
        <v>0</v>
      </c>
      <c r="J146" s="309">
        <f t="shared" si="11"/>
        <v>0</v>
      </c>
      <c r="K146" s="307">
        <f>'Charges des villes'!N146</f>
        <v>759238.34000421688</v>
      </c>
      <c r="L146" s="307">
        <f>'Charges des villes'!U146</f>
        <v>-100486.39401212567</v>
      </c>
      <c r="M146" s="302">
        <f t="shared" si="12"/>
        <v>658751.9459920912</v>
      </c>
      <c r="N146" s="308">
        <f>-VLOOKUP(A146,Paramètres!$B$23:$C$322,2,FALSE)*$N$5</f>
        <v>0</v>
      </c>
      <c r="O146" s="322"/>
      <c r="P146" s="602">
        <f t="shared" si="13"/>
        <v>1381243.9167453186</v>
      </c>
      <c r="Q146" s="603"/>
      <c r="R146" s="603"/>
      <c r="S146" s="604"/>
      <c r="T146" s="308">
        <f>PCS!D146</f>
        <v>5097897.4691851437</v>
      </c>
      <c r="U146" s="303">
        <f>Police!U146</f>
        <v>157489.79646157369</v>
      </c>
      <c r="V146" s="336">
        <f t="shared" si="14"/>
        <v>6636631.1823920356</v>
      </c>
      <c r="W146" s="180"/>
      <c r="X146" s="180"/>
      <c r="Y146" s="180"/>
      <c r="Z146" s="15"/>
    </row>
    <row r="147" spans="1:26" x14ac:dyDescent="0.25">
      <c r="A147" s="111">
        <f>Données!A147</f>
        <v>5645</v>
      </c>
      <c r="B147" s="119" t="str">
        <f>Données!B147</f>
        <v>Romanel-sur-Morges</v>
      </c>
      <c r="C147" s="307">
        <f>Ressources!H147</f>
        <v>114512.40589949978</v>
      </c>
      <c r="D147" s="307">
        <f>Ressources!L147</f>
        <v>0</v>
      </c>
      <c r="E147" s="335">
        <f>Ressources!T147</f>
        <v>3590.4272939948569</v>
      </c>
      <c r="F147" s="308">
        <f t="shared" si="10"/>
        <v>118102.83319349463</v>
      </c>
      <c r="G147" s="307">
        <f>'Besoins structurels'!I147</f>
        <v>0</v>
      </c>
      <c r="H147" s="307">
        <f>'Besoins structurels'!N147</f>
        <v>0</v>
      </c>
      <c r="I147" s="307">
        <f>'Besoins structurels'!V147</f>
        <v>0</v>
      </c>
      <c r="J147" s="309">
        <f t="shared" si="11"/>
        <v>0</v>
      </c>
      <c r="K147" s="307">
        <f>'Charges des villes'!N147</f>
        <v>214513.34977694743</v>
      </c>
      <c r="L147" s="307">
        <f>'Charges des villes'!U147</f>
        <v>46734.409715002032</v>
      </c>
      <c r="M147" s="302">
        <f t="shared" si="12"/>
        <v>261247.75949194946</v>
      </c>
      <c r="N147" s="308">
        <f>-VLOOKUP(A147,Paramètres!$B$23:$C$322,2,FALSE)*$N$5</f>
        <v>0</v>
      </c>
      <c r="O147" s="322"/>
      <c r="P147" s="602">
        <f t="shared" si="13"/>
        <v>379350.59268544411</v>
      </c>
      <c r="Q147" s="603"/>
      <c r="R147" s="603"/>
      <c r="S147" s="604"/>
      <c r="T147" s="308">
        <f>PCS!D147</f>
        <v>449814.48257515975</v>
      </c>
      <c r="U147" s="303">
        <f>Police!U147</f>
        <v>66979.147534696749</v>
      </c>
      <c r="V147" s="336">
        <f t="shared" si="14"/>
        <v>896144.22279530053</v>
      </c>
      <c r="W147" s="180"/>
      <c r="X147" s="180"/>
      <c r="Y147" s="180"/>
      <c r="Z147" s="15"/>
    </row>
    <row r="148" spans="1:26" x14ac:dyDescent="0.25">
      <c r="A148" s="111">
        <f>Données!A148</f>
        <v>5646</v>
      </c>
      <c r="B148" s="119" t="str">
        <f>Données!B148</f>
        <v>Saint-Prex</v>
      </c>
      <c r="C148" s="307">
        <f>Ressources!H148</f>
        <v>15146791.304669155</v>
      </c>
      <c r="D148" s="307">
        <f>Ressources!L148</f>
        <v>0</v>
      </c>
      <c r="E148" s="335">
        <f>Ressources!T148</f>
        <v>7998469.2144048437</v>
      </c>
      <c r="F148" s="308">
        <f t="shared" si="10"/>
        <v>23145260.519074</v>
      </c>
      <c r="G148" s="307">
        <f>'Besoins structurels'!I148</f>
        <v>0</v>
      </c>
      <c r="H148" s="307">
        <f>'Besoins structurels'!N148</f>
        <v>0</v>
      </c>
      <c r="I148" s="307">
        <f>'Besoins structurels'!V148</f>
        <v>0</v>
      </c>
      <c r="J148" s="309">
        <f t="shared" si="11"/>
        <v>0</v>
      </c>
      <c r="K148" s="307">
        <f>'Charges des villes'!N148</f>
        <v>712027.2029541973</v>
      </c>
      <c r="L148" s="307">
        <f>'Charges des villes'!U148</f>
        <v>599050.16089229879</v>
      </c>
      <c r="M148" s="302">
        <f t="shared" si="12"/>
        <v>1311077.3638464962</v>
      </c>
      <c r="N148" s="308">
        <f>-VLOOKUP(A148,Paramètres!$B$23:$C$322,2,FALSE)*$N$5</f>
        <v>0</v>
      </c>
      <c r="O148" s="322"/>
      <c r="P148" s="602">
        <f t="shared" si="13"/>
        <v>24456337.882920496</v>
      </c>
      <c r="Q148" s="603"/>
      <c r="R148" s="603"/>
      <c r="S148" s="604"/>
      <c r="T148" s="308">
        <f>PCS!D148</f>
        <v>5765803.8220997751</v>
      </c>
      <c r="U148" s="303">
        <f>Police!U148</f>
        <v>178123.48637231463</v>
      </c>
      <c r="V148" s="336">
        <f t="shared" si="14"/>
        <v>30400265.191392586</v>
      </c>
      <c r="W148" s="180"/>
      <c r="X148" s="180"/>
      <c r="Y148" s="180"/>
      <c r="Z148" s="15"/>
    </row>
    <row r="149" spans="1:26" x14ac:dyDescent="0.25">
      <c r="A149" s="111">
        <f>Données!A149</f>
        <v>5648</v>
      </c>
      <c r="B149" s="119" t="str">
        <f>Données!B149</f>
        <v>Saint-Sulpice</v>
      </c>
      <c r="C149" s="307">
        <f>Ressources!H149</f>
        <v>7394285.8043617131</v>
      </c>
      <c r="D149" s="307">
        <f>Ressources!L149</f>
        <v>0</v>
      </c>
      <c r="E149" s="335">
        <f>Ressources!T149</f>
        <v>695650.10292795533</v>
      </c>
      <c r="F149" s="308">
        <f t="shared" si="10"/>
        <v>8089935.9072896689</v>
      </c>
      <c r="G149" s="307">
        <f>'Besoins structurels'!I149</f>
        <v>0</v>
      </c>
      <c r="H149" s="307">
        <f>'Besoins structurels'!N149</f>
        <v>0</v>
      </c>
      <c r="I149" s="307">
        <f>'Besoins structurels'!V149</f>
        <v>0</v>
      </c>
      <c r="J149" s="309">
        <f t="shared" si="11"/>
        <v>0</v>
      </c>
      <c r="K149" s="307">
        <f>'Charges des villes'!N149</f>
        <v>762197.63868227927</v>
      </c>
      <c r="L149" s="307">
        <f>'Charges des villes'!U149</f>
        <v>-828977.2289478851</v>
      </c>
      <c r="M149" s="302">
        <f t="shared" si="12"/>
        <v>-66779.590265605832</v>
      </c>
      <c r="N149" s="308">
        <f>-VLOOKUP(A149,Paramètres!$B$23:$C$322,2,FALSE)*$N$5</f>
        <v>0</v>
      </c>
      <c r="O149" s="322"/>
      <c r="P149" s="602">
        <f t="shared" si="13"/>
        <v>8023156.3170240633</v>
      </c>
      <c r="Q149" s="603"/>
      <c r="R149" s="603"/>
      <c r="S149" s="604"/>
      <c r="T149" s="308">
        <f>PCS!D149</f>
        <v>5056031.6190753346</v>
      </c>
      <c r="U149" s="303">
        <f>Police!U149</f>
        <v>156196.43105900538</v>
      </c>
      <c r="V149" s="336">
        <f t="shared" si="14"/>
        <v>13235384.367158404</v>
      </c>
      <c r="W149" s="180"/>
      <c r="X149" s="180"/>
      <c r="Y149" s="180"/>
      <c r="Z149" s="15"/>
    </row>
    <row r="150" spans="1:26" x14ac:dyDescent="0.25">
      <c r="A150" s="111">
        <f>Données!A150</f>
        <v>5649</v>
      </c>
      <c r="B150" s="119" t="str">
        <f>Données!B150</f>
        <v>Tolochenaz</v>
      </c>
      <c r="C150" s="307">
        <f>Ressources!H150</f>
        <v>17577222.698922861</v>
      </c>
      <c r="D150" s="307">
        <f>Ressources!L150</f>
        <v>0</v>
      </c>
      <c r="E150" s="335">
        <f>Ressources!T150</f>
        <v>-279606.99852203007</v>
      </c>
      <c r="F150" s="308">
        <f t="shared" si="10"/>
        <v>17297615.700400833</v>
      </c>
      <c r="G150" s="307">
        <f>'Besoins structurels'!I150</f>
        <v>0</v>
      </c>
      <c r="H150" s="307">
        <f>'Besoins structurels'!N150</f>
        <v>0</v>
      </c>
      <c r="I150" s="307">
        <f>'Besoins structurels'!V150</f>
        <v>0</v>
      </c>
      <c r="J150" s="309">
        <f t="shared" si="11"/>
        <v>0</v>
      </c>
      <c r="K150" s="307">
        <f>'Charges des villes'!N150</f>
        <v>672561.1791762989</v>
      </c>
      <c r="L150" s="307">
        <f>'Charges des villes'!U150</f>
        <v>-221331.77012229199</v>
      </c>
      <c r="M150" s="302">
        <f t="shared" si="12"/>
        <v>451229.40905400692</v>
      </c>
      <c r="N150" s="308">
        <f>-VLOOKUP(A150,Paramètres!$B$23:$C$322,2,FALSE)*$N$5</f>
        <v>0</v>
      </c>
      <c r="O150" s="322"/>
      <c r="P150" s="602">
        <f t="shared" si="13"/>
        <v>17748845.10945484</v>
      </c>
      <c r="Q150" s="603"/>
      <c r="R150" s="603"/>
      <c r="S150" s="604"/>
      <c r="T150" s="308">
        <f>PCS!D150</f>
        <v>1877147.8839933071</v>
      </c>
      <c r="U150" s="303">
        <f>Police!U150</f>
        <v>57990.89525934188</v>
      </c>
      <c r="V150" s="336">
        <f t="shared" si="14"/>
        <v>19683983.888707489</v>
      </c>
      <c r="W150" s="180"/>
      <c r="X150" s="180"/>
      <c r="Y150" s="180"/>
      <c r="Z150" s="15"/>
    </row>
    <row r="151" spans="1:26" x14ac:dyDescent="0.25">
      <c r="A151" s="111">
        <f>Données!A151</f>
        <v>5650</v>
      </c>
      <c r="B151" s="119" t="str">
        <f>Données!B151</f>
        <v>Vaux-sur-Morges</v>
      </c>
      <c r="C151" s="307">
        <f>Ressources!H151</f>
        <v>5602226.8040252412</v>
      </c>
      <c r="D151" s="307">
        <f>Ressources!L151</f>
        <v>0</v>
      </c>
      <c r="E151" s="335">
        <f>Ressources!T151</f>
        <v>-47439.622176647084</v>
      </c>
      <c r="F151" s="308">
        <f t="shared" si="10"/>
        <v>5554787.181848594</v>
      </c>
      <c r="G151" s="307">
        <f>'Besoins structurels'!I151</f>
        <v>-7416</v>
      </c>
      <c r="H151" s="307">
        <f>'Besoins structurels'!N151</f>
        <v>0</v>
      </c>
      <c r="I151" s="307">
        <f>'Besoins structurels'!V151</f>
        <v>0</v>
      </c>
      <c r="J151" s="309">
        <f t="shared" si="11"/>
        <v>-7416</v>
      </c>
      <c r="K151" s="307">
        <f>'Charges des villes'!N151</f>
        <v>85898.202832760318</v>
      </c>
      <c r="L151" s="307">
        <f>'Charges des villes'!U151</f>
        <v>18713.995232197783</v>
      </c>
      <c r="M151" s="302">
        <f t="shared" si="12"/>
        <v>104612.19806495809</v>
      </c>
      <c r="N151" s="308">
        <f>-VLOOKUP(A151,Paramètres!$B$23:$C$322,2,FALSE)*$N$5</f>
        <v>-172200</v>
      </c>
      <c r="O151" s="322"/>
      <c r="P151" s="602">
        <f t="shared" si="13"/>
        <v>5479783.3799135517</v>
      </c>
      <c r="Q151" s="603"/>
      <c r="R151" s="603"/>
      <c r="S151" s="604"/>
      <c r="T151" s="308">
        <f>PCS!D151</f>
        <v>180120.51791429555</v>
      </c>
      <c r="U151" s="303">
        <f>Police!U151</f>
        <v>26820.65431584177</v>
      </c>
      <c r="V151" s="336">
        <f t="shared" si="14"/>
        <v>5686724.5521436883</v>
      </c>
      <c r="W151" s="180"/>
      <c r="X151" s="180"/>
      <c r="Y151" s="180"/>
      <c r="Z151" s="15"/>
    </row>
    <row r="152" spans="1:26" x14ac:dyDescent="0.25">
      <c r="A152" s="111">
        <f>Données!A152</f>
        <v>5651</v>
      </c>
      <c r="B152" s="119" t="str">
        <f>Données!B152</f>
        <v>Villars-Sainte-Croix</v>
      </c>
      <c r="C152" s="307">
        <f>Ressources!H152</f>
        <v>260273.56322458014</v>
      </c>
      <c r="D152" s="307">
        <f>Ressources!L152</f>
        <v>0</v>
      </c>
      <c r="E152" s="335">
        <f>Ressources!T152</f>
        <v>21487.875634712429</v>
      </c>
      <c r="F152" s="308">
        <f t="shared" si="10"/>
        <v>281761.43885929254</v>
      </c>
      <c r="G152" s="307">
        <f>'Besoins structurels'!I152</f>
        <v>0</v>
      </c>
      <c r="H152" s="307">
        <f>'Besoins structurels'!N152</f>
        <v>0</v>
      </c>
      <c r="I152" s="307">
        <f>'Besoins structurels'!V152</f>
        <v>0</v>
      </c>
      <c r="J152" s="309">
        <f t="shared" si="11"/>
        <v>0</v>
      </c>
      <c r="K152" s="307">
        <f>'Charges des villes'!N152</f>
        <v>437848.67714212427</v>
      </c>
      <c r="L152" s="307">
        <f>'Charges des villes'!U152</f>
        <v>-147768.97068128374</v>
      </c>
      <c r="M152" s="302">
        <f t="shared" si="12"/>
        <v>290079.70646084053</v>
      </c>
      <c r="N152" s="308">
        <f>-VLOOKUP(A152,Paramètres!$B$23:$C$322,2,FALSE)*$N$5</f>
        <v>0</v>
      </c>
      <c r="O152" s="322"/>
      <c r="P152" s="602">
        <f t="shared" si="13"/>
        <v>571841.14532013307</v>
      </c>
      <c r="Q152" s="603"/>
      <c r="R152" s="603"/>
      <c r="S152" s="604"/>
      <c r="T152" s="308">
        <f>PCS!D152</f>
        <v>918127.8291523282</v>
      </c>
      <c r="U152" s="303">
        <f>Police!U152</f>
        <v>28363.804060974791</v>
      </c>
      <c r="V152" s="336">
        <f t="shared" si="14"/>
        <v>1518332.7785334361</v>
      </c>
      <c r="W152" s="180"/>
      <c r="X152" s="180"/>
      <c r="Y152" s="180"/>
      <c r="Z152" s="15"/>
    </row>
    <row r="153" spans="1:26" x14ac:dyDescent="0.25">
      <c r="A153" s="111">
        <f>Données!A153</f>
        <v>5652</v>
      </c>
      <c r="B153" s="119" t="str">
        <f>Données!B153</f>
        <v>Villars-sous-Yens</v>
      </c>
      <c r="C153" s="307">
        <f>Ressources!H153</f>
        <v>-375870.40429636097</v>
      </c>
      <c r="D153" s="307">
        <f>Ressources!L153</f>
        <v>0</v>
      </c>
      <c r="E153" s="335">
        <f>Ressources!T153</f>
        <v>-69930.204148746954</v>
      </c>
      <c r="F153" s="308">
        <f t="shared" si="10"/>
        <v>-445800.60844510794</v>
      </c>
      <c r="G153" s="307">
        <f>'Besoins structurels'!I153</f>
        <v>0</v>
      </c>
      <c r="H153" s="307">
        <f>'Besoins structurels'!N153</f>
        <v>0</v>
      </c>
      <c r="I153" s="307">
        <f>'Besoins structurels'!V153</f>
        <v>0</v>
      </c>
      <c r="J153" s="309">
        <f t="shared" si="11"/>
        <v>0</v>
      </c>
      <c r="K153" s="307">
        <f>'Charges des villes'!N153</f>
        <v>279981.70977380802</v>
      </c>
      <c r="L153" s="307">
        <f>'Charges des villes'!U153</f>
        <v>60997.508783866288</v>
      </c>
      <c r="M153" s="302">
        <f t="shared" si="12"/>
        <v>340979.21855767432</v>
      </c>
      <c r="N153" s="308">
        <f>-VLOOKUP(A153,Paramètres!$B$23:$C$322,2,FALSE)*$N$5</f>
        <v>0</v>
      </c>
      <c r="O153" s="322"/>
      <c r="P153" s="602">
        <f t="shared" si="13"/>
        <v>-104821.38988743362</v>
      </c>
      <c r="Q153" s="603"/>
      <c r="R153" s="603"/>
      <c r="S153" s="604"/>
      <c r="T153" s="308">
        <f>PCS!D153</f>
        <v>587095.52595848765</v>
      </c>
      <c r="U153" s="303">
        <f>Police!U153</f>
        <v>87420.835418662638</v>
      </c>
      <c r="V153" s="336">
        <f t="shared" si="14"/>
        <v>569694.97148971667</v>
      </c>
      <c r="W153" s="180"/>
      <c r="X153" s="180"/>
      <c r="Y153" s="180"/>
      <c r="Z153" s="15"/>
    </row>
    <row r="154" spans="1:26" x14ac:dyDescent="0.25">
      <c r="A154" s="111">
        <f>Données!A154</f>
        <v>5653</v>
      </c>
      <c r="B154" s="119" t="str">
        <f>Données!B154</f>
        <v>Vufflens-le-Château</v>
      </c>
      <c r="C154" s="307">
        <f>Ressources!H154</f>
        <v>1461964.2351689162</v>
      </c>
      <c r="D154" s="307">
        <f>Ressources!L154</f>
        <v>0</v>
      </c>
      <c r="E154" s="335">
        <f>Ressources!T154</f>
        <v>899841.2220233191</v>
      </c>
      <c r="F154" s="308">
        <f t="shared" si="10"/>
        <v>2361805.4571922352</v>
      </c>
      <c r="G154" s="307">
        <f>'Besoins structurels'!I154</f>
        <v>0</v>
      </c>
      <c r="H154" s="307">
        <f>'Besoins structurels'!N154</f>
        <v>0</v>
      </c>
      <c r="I154" s="307">
        <f>'Besoins structurels'!V154</f>
        <v>0</v>
      </c>
      <c r="J154" s="309">
        <f t="shared" si="11"/>
        <v>0</v>
      </c>
      <c r="K154" s="307">
        <f>'Charges des villes'!N154</f>
        <v>411847.05898734275</v>
      </c>
      <c r="L154" s="307">
        <f>'Charges des villes'!U154</f>
        <v>89726.020383564508</v>
      </c>
      <c r="M154" s="302">
        <f t="shared" si="12"/>
        <v>501573.07937090728</v>
      </c>
      <c r="N154" s="308">
        <f>-VLOOKUP(A154,Paramètres!$B$23:$C$322,2,FALSE)*$N$5</f>
        <v>0</v>
      </c>
      <c r="O154" s="322"/>
      <c r="P154" s="602">
        <f t="shared" si="13"/>
        <v>2863378.5365631422</v>
      </c>
      <c r="Q154" s="603"/>
      <c r="R154" s="603"/>
      <c r="S154" s="604"/>
      <c r="T154" s="308">
        <f>PCS!D154</f>
        <v>863604.86156746035</v>
      </c>
      <c r="U154" s="303">
        <f>Police!U154</f>
        <v>128594.16420622513</v>
      </c>
      <c r="V154" s="336">
        <f t="shared" si="14"/>
        <v>3855577.5623368276</v>
      </c>
      <c r="W154" s="180"/>
      <c r="X154" s="180"/>
      <c r="Y154" s="180"/>
      <c r="Z154" s="15"/>
    </row>
    <row r="155" spans="1:26" x14ac:dyDescent="0.25">
      <c r="A155" s="111">
        <f>Données!A155</f>
        <v>5654</v>
      </c>
      <c r="B155" s="119" t="str">
        <f>Données!B155</f>
        <v>Vullierens</v>
      </c>
      <c r="C155" s="307">
        <f>Ressources!H155</f>
        <v>-232994.39315621424</v>
      </c>
      <c r="D155" s="307">
        <f>Ressources!L155</f>
        <v>0</v>
      </c>
      <c r="E155" s="335">
        <f>Ressources!T155</f>
        <v>-73490.616896893873</v>
      </c>
      <c r="F155" s="308">
        <f t="shared" si="10"/>
        <v>-306485.0100531081</v>
      </c>
      <c r="G155" s="307">
        <f>'Besoins structurels'!I155</f>
        <v>-25573</v>
      </c>
      <c r="H155" s="307">
        <f>'Besoins structurels'!N155</f>
        <v>0</v>
      </c>
      <c r="I155" s="307">
        <f>'Besoins structurels'!V155</f>
        <v>-27786</v>
      </c>
      <c r="J155" s="309">
        <f t="shared" si="11"/>
        <v>-53359</v>
      </c>
      <c r="K155" s="307">
        <f>'Charges des villes'!N155</f>
        <v>267909.52991623088</v>
      </c>
      <c r="L155" s="307">
        <f>'Charges des villes'!U155</f>
        <v>58367.433778260114</v>
      </c>
      <c r="M155" s="302">
        <f t="shared" si="12"/>
        <v>326276.96369449102</v>
      </c>
      <c r="N155" s="308">
        <f>-VLOOKUP(A155,Paramètres!$B$23:$C$322,2,FALSE)*$N$5</f>
        <v>0</v>
      </c>
      <c r="O155" s="322"/>
      <c r="P155" s="602">
        <f t="shared" si="13"/>
        <v>-33567.046358617081</v>
      </c>
      <c r="Q155" s="603"/>
      <c r="R155" s="603"/>
      <c r="S155" s="604"/>
      <c r="T155" s="308">
        <f>PCS!D155</f>
        <v>561781.29100837046</v>
      </c>
      <c r="U155" s="303">
        <f>Police!U155</f>
        <v>83651.446163463246</v>
      </c>
      <c r="V155" s="336">
        <f t="shared" si="14"/>
        <v>611865.69081321673</v>
      </c>
      <c r="W155" s="180"/>
      <c r="X155" s="180"/>
      <c r="Y155" s="180"/>
      <c r="Z155" s="15"/>
    </row>
    <row r="156" spans="1:26" x14ac:dyDescent="0.25">
      <c r="A156" s="111">
        <f>Données!A156</f>
        <v>5655</v>
      </c>
      <c r="B156" s="119" t="str">
        <f>Données!B156</f>
        <v>Yens</v>
      </c>
      <c r="C156" s="307">
        <f>Ressources!H156</f>
        <v>1486165.4412360268</v>
      </c>
      <c r="D156" s="307">
        <f>Ressources!L156</f>
        <v>0</v>
      </c>
      <c r="E156" s="335">
        <f>Ressources!T156</f>
        <v>312255.30711559806</v>
      </c>
      <c r="F156" s="308">
        <f t="shared" si="10"/>
        <v>1798420.7483516249</v>
      </c>
      <c r="G156" s="307">
        <f>'Besoins structurels'!I156</f>
        <v>0</v>
      </c>
      <c r="H156" s="307">
        <f>'Besoins structurels'!N156</f>
        <v>0</v>
      </c>
      <c r="I156" s="307">
        <f>'Besoins structurels'!V156</f>
        <v>0</v>
      </c>
      <c r="J156" s="309">
        <f t="shared" si="11"/>
        <v>0</v>
      </c>
      <c r="K156" s="307">
        <f>'Charges des villes'!N156</f>
        <v>572252.75626308727</v>
      </c>
      <c r="L156" s="307">
        <f>'Charges des villes'!U156</f>
        <v>149813.11858856713</v>
      </c>
      <c r="M156" s="302">
        <f t="shared" si="12"/>
        <v>722065.8748516544</v>
      </c>
      <c r="N156" s="308">
        <f>-VLOOKUP(A156,Paramètres!$B$23:$C$322,2,FALSE)*$N$5</f>
        <v>0</v>
      </c>
      <c r="O156" s="322"/>
      <c r="P156" s="602">
        <f t="shared" si="13"/>
        <v>2520486.6232032795</v>
      </c>
      <c r="Q156" s="603"/>
      <c r="R156" s="603"/>
      <c r="S156" s="604"/>
      <c r="T156" s="308">
        <f>PCS!D156</f>
        <v>1441937.7677355229</v>
      </c>
      <c r="U156" s="303">
        <f>Police!U156</f>
        <v>226494.31881350631</v>
      </c>
      <c r="V156" s="336">
        <f t="shared" si="14"/>
        <v>4188918.7097523091</v>
      </c>
      <c r="W156" s="180"/>
      <c r="X156" s="180"/>
      <c r="Y156" s="180"/>
      <c r="Z156" s="15"/>
    </row>
    <row r="157" spans="1:26" x14ac:dyDescent="0.25">
      <c r="A157" s="111">
        <f>Données!A157</f>
        <v>5656</v>
      </c>
      <c r="B157" s="119" t="str">
        <f>Données!B157</f>
        <v>Hautemorges</v>
      </c>
      <c r="C157" s="307">
        <f>Ressources!H157</f>
        <v>-2564302.9841954624</v>
      </c>
      <c r="D157" s="307">
        <f>Ressources!L157</f>
        <v>0</v>
      </c>
      <c r="E157" s="335">
        <f>Ressources!T157</f>
        <v>-433342.12064237799</v>
      </c>
      <c r="F157" s="308">
        <f t="shared" si="10"/>
        <v>-2997645.1048378404</v>
      </c>
      <c r="G157" s="307">
        <f>'Besoins structurels'!I157</f>
        <v>0</v>
      </c>
      <c r="H157" s="307">
        <f>'Besoins structurels'!N157</f>
        <v>0</v>
      </c>
      <c r="I157" s="307">
        <f>'Besoins structurels'!V157</f>
        <v>0</v>
      </c>
      <c r="J157" s="309">
        <f t="shared" si="11"/>
        <v>0</v>
      </c>
      <c r="K157" s="307">
        <f>'Charges des villes'!N157</f>
        <v>814983.26859097462</v>
      </c>
      <c r="L157" s="307">
        <f>'Charges des villes'!U157</f>
        <v>447719.69133895886</v>
      </c>
      <c r="M157" s="302">
        <f t="shared" si="12"/>
        <v>1262702.9599299335</v>
      </c>
      <c r="N157" s="308">
        <f>-VLOOKUP(A157,Paramètres!$B$23:$C$322,2,FALSE)*$N$5</f>
        <v>-157000</v>
      </c>
      <c r="O157" s="322"/>
      <c r="P157" s="602">
        <f t="shared" si="13"/>
        <v>-1891942.1449079069</v>
      </c>
      <c r="Q157" s="603"/>
      <c r="R157" s="603"/>
      <c r="S157" s="604"/>
      <c r="T157" s="308">
        <f>PCS!D157</f>
        <v>4309261.6880468763</v>
      </c>
      <c r="U157" s="303">
        <f>Police!U157</f>
        <v>743068.15736757766</v>
      </c>
      <c r="V157" s="336">
        <f t="shared" si="14"/>
        <v>3160387.7005065475</v>
      </c>
      <c r="W157" s="180"/>
      <c r="X157" s="180"/>
      <c r="Y157" s="180"/>
      <c r="Z157" s="15"/>
    </row>
    <row r="158" spans="1:26" x14ac:dyDescent="0.25">
      <c r="A158" s="111">
        <f>Données!A158</f>
        <v>5661</v>
      </c>
      <c r="B158" s="119" t="str">
        <f>Données!B158</f>
        <v>Boulens</v>
      </c>
      <c r="C158" s="307">
        <f>Ressources!H158</f>
        <v>-362475.42739188124</v>
      </c>
      <c r="D158" s="307">
        <f>Ressources!L158</f>
        <v>0</v>
      </c>
      <c r="E158" s="335">
        <f>Ressources!T158</f>
        <v>-34032.374824519269</v>
      </c>
      <c r="F158" s="308">
        <f t="shared" si="10"/>
        <v>-396507.80221640051</v>
      </c>
      <c r="G158" s="307">
        <f>'Besoins structurels'!I158</f>
        <v>-6114</v>
      </c>
      <c r="H158" s="307">
        <f>'Besoins structurels'!N158</f>
        <v>0</v>
      </c>
      <c r="I158" s="307">
        <f>'Besoins structurels'!V158</f>
        <v>-42528</v>
      </c>
      <c r="J158" s="309">
        <f t="shared" si="11"/>
        <v>-48642</v>
      </c>
      <c r="K158" s="307">
        <f>'Charges des villes'!N158</f>
        <v>172260.72027542745</v>
      </c>
      <c r="L158" s="307">
        <f>'Charges des villes'!U158</f>
        <v>37529.147195380421</v>
      </c>
      <c r="M158" s="302">
        <f t="shared" si="12"/>
        <v>209789.86747080786</v>
      </c>
      <c r="N158" s="308">
        <f>-VLOOKUP(A158,Paramètres!$B$23:$C$322,2,FALSE)*$N$5</f>
        <v>0</v>
      </c>
      <c r="O158" s="322"/>
      <c r="P158" s="602">
        <f t="shared" si="13"/>
        <v>-235359.93474559265</v>
      </c>
      <c r="Q158" s="603"/>
      <c r="R158" s="603"/>
      <c r="S158" s="604"/>
      <c r="T158" s="308">
        <f>PCS!D158</f>
        <v>361214.66024974949</v>
      </c>
      <c r="U158" s="303">
        <f>Police!U158</f>
        <v>53786.285141498898</v>
      </c>
      <c r="V158" s="336">
        <f t="shared" si="14"/>
        <v>179641.01064565574</v>
      </c>
      <c r="W158" s="180"/>
      <c r="X158" s="180"/>
      <c r="Y158" s="180"/>
      <c r="Z158" s="15"/>
    </row>
    <row r="159" spans="1:26" x14ac:dyDescent="0.25">
      <c r="A159" s="111">
        <f>Données!A159</f>
        <v>5663</v>
      </c>
      <c r="B159" s="119" t="str">
        <f>Données!B159</f>
        <v>Bussy-sur-Moudon</v>
      </c>
      <c r="C159" s="307">
        <f>Ressources!H159</f>
        <v>-360664.3463125212</v>
      </c>
      <c r="D159" s="307">
        <f>Ressources!L159</f>
        <v>0</v>
      </c>
      <c r="E159" s="335">
        <f>Ressources!T159</f>
        <v>-51887.450817106866</v>
      </c>
      <c r="F159" s="308">
        <f t="shared" si="10"/>
        <v>-412551.79712962807</v>
      </c>
      <c r="G159" s="307">
        <f>'Besoins structurels'!I159</f>
        <v>-11607</v>
      </c>
      <c r="H159" s="307">
        <f>'Besoins structurels'!N159</f>
        <v>0</v>
      </c>
      <c r="I159" s="307">
        <f>'Besoins structurels'!V159</f>
        <v>0</v>
      </c>
      <c r="J159" s="309">
        <f t="shared" si="11"/>
        <v>-11607</v>
      </c>
      <c r="K159" s="307">
        <f>'Charges des villes'!N159</f>
        <v>123972.00084511898</v>
      </c>
      <c r="L159" s="307">
        <f>'Charges des villes'!U159</f>
        <v>27008.84717295572</v>
      </c>
      <c r="M159" s="302">
        <f t="shared" si="12"/>
        <v>150980.8480180747</v>
      </c>
      <c r="N159" s="308">
        <f>-VLOOKUP(A159,Paramètres!$B$23:$C$322,2,FALSE)*$N$5</f>
        <v>-18300</v>
      </c>
      <c r="O159" s="322"/>
      <c r="P159" s="602">
        <f t="shared" si="13"/>
        <v>-291477.94911155337</v>
      </c>
      <c r="Q159" s="603"/>
      <c r="R159" s="603"/>
      <c r="S159" s="604"/>
      <c r="T159" s="308">
        <f>PCS!D159</f>
        <v>259957.72044928063</v>
      </c>
      <c r="U159" s="303">
        <f>Police!U159</f>
        <v>38708.728120701358</v>
      </c>
      <c r="V159" s="336">
        <f t="shared" si="14"/>
        <v>7188.4994584286178</v>
      </c>
      <c r="W159" s="180"/>
      <c r="X159" s="180"/>
      <c r="Y159" s="180"/>
      <c r="Z159" s="15"/>
    </row>
    <row r="160" spans="1:26" x14ac:dyDescent="0.25">
      <c r="A160" s="111">
        <f>Données!A160</f>
        <v>5665</v>
      </c>
      <c r="B160" s="119" t="str">
        <f>Données!B160</f>
        <v>Chavannes-sur-Moudon</v>
      </c>
      <c r="C160" s="307">
        <f>Ressources!H160</f>
        <v>-302113.90611757594</v>
      </c>
      <c r="D160" s="307">
        <f>Ressources!L160</f>
        <v>0</v>
      </c>
      <c r="E160" s="335">
        <f>Ressources!T160</f>
        <v>-46229.884324227693</v>
      </c>
      <c r="F160" s="308">
        <f t="shared" si="10"/>
        <v>-348343.79044180363</v>
      </c>
      <c r="G160" s="307">
        <f>'Besoins structurels'!I160</f>
        <v>-35786</v>
      </c>
      <c r="H160" s="307">
        <f>'Besoins structurels'!N160</f>
        <v>-855</v>
      </c>
      <c r="I160" s="307">
        <f>'Besoins structurels'!V160</f>
        <v>0</v>
      </c>
      <c r="J160" s="309">
        <f t="shared" si="11"/>
        <v>-36641</v>
      </c>
      <c r="K160" s="307">
        <f>'Charges des villes'!N160</f>
        <v>107720.9894983805</v>
      </c>
      <c r="L160" s="307">
        <f>'Charges des villes'!U160</f>
        <v>23468.36158848587</v>
      </c>
      <c r="M160" s="302">
        <f t="shared" si="12"/>
        <v>131189.35108686637</v>
      </c>
      <c r="N160" s="308">
        <f>-VLOOKUP(A160,Paramètres!$B$23:$C$322,2,FALSE)*$N$5</f>
        <v>0</v>
      </c>
      <c r="O160" s="322"/>
      <c r="P160" s="602">
        <f t="shared" si="13"/>
        <v>-253795.43935493726</v>
      </c>
      <c r="Q160" s="603"/>
      <c r="R160" s="603"/>
      <c r="S160" s="604"/>
      <c r="T160" s="308">
        <f>PCS!D160</f>
        <v>225880.86570873822</v>
      </c>
      <c r="U160" s="303">
        <f>Police!U160</f>
        <v>33634.550277163733</v>
      </c>
      <c r="V160" s="336">
        <f t="shared" si="14"/>
        <v>5719.9766309646875</v>
      </c>
      <c r="W160" s="180"/>
      <c r="X160" s="180"/>
      <c r="Y160" s="180"/>
      <c r="Z160" s="15"/>
    </row>
    <row r="161" spans="1:26" x14ac:dyDescent="0.25">
      <c r="A161" s="111">
        <f>Données!A161</f>
        <v>5669</v>
      </c>
      <c r="B161" s="119" t="str">
        <f>Données!B161</f>
        <v>Curtilles</v>
      </c>
      <c r="C161" s="307">
        <f>Ressources!H161</f>
        <v>-307739.38933928241</v>
      </c>
      <c r="D161" s="307">
        <f>Ressources!L161</f>
        <v>0</v>
      </c>
      <c r="E161" s="335">
        <f>Ressources!T161</f>
        <v>-59162.017309986048</v>
      </c>
      <c r="F161" s="308">
        <f t="shared" si="10"/>
        <v>-366901.40664926847</v>
      </c>
      <c r="G161" s="307">
        <f>'Besoins structurels'!I161</f>
        <v>-28053</v>
      </c>
      <c r="H161" s="307">
        <f>'Besoins structurels'!N161</f>
        <v>0</v>
      </c>
      <c r="I161" s="307">
        <f>'Besoins structurels'!V161</f>
        <v>0</v>
      </c>
      <c r="J161" s="309">
        <f t="shared" si="11"/>
        <v>-28053</v>
      </c>
      <c r="K161" s="307">
        <f>'Charges des villes'!N161</f>
        <v>140223.01219185742</v>
      </c>
      <c r="L161" s="307">
        <f>'Charges des villes'!U161</f>
        <v>30549.332757425571</v>
      </c>
      <c r="M161" s="302">
        <f t="shared" si="12"/>
        <v>170772.344949283</v>
      </c>
      <c r="N161" s="308">
        <f>-VLOOKUP(A161,Paramètres!$B$23:$C$322,2,FALSE)*$N$5</f>
        <v>0</v>
      </c>
      <c r="O161" s="322"/>
      <c r="P161" s="602">
        <f t="shared" si="13"/>
        <v>-224182.06169998547</v>
      </c>
      <c r="Q161" s="603"/>
      <c r="R161" s="603"/>
      <c r="S161" s="604"/>
      <c r="T161" s="308">
        <f>PCS!D161</f>
        <v>294034.57518982305</v>
      </c>
      <c r="U161" s="303">
        <f>Police!U161</f>
        <v>43782.905964238991</v>
      </c>
      <c r="V161" s="336">
        <f t="shared" si="14"/>
        <v>113635.41945407657</v>
      </c>
      <c r="W161" s="180"/>
      <c r="X161" s="180"/>
      <c r="Y161" s="180"/>
      <c r="Z161" s="15"/>
    </row>
    <row r="162" spans="1:26" x14ac:dyDescent="0.25">
      <c r="A162" s="111">
        <f>Données!A162</f>
        <v>5671</v>
      </c>
      <c r="B162" s="119" t="str">
        <f>Données!B162</f>
        <v>Dompierre</v>
      </c>
      <c r="C162" s="307">
        <f>Ressources!H162</f>
        <v>-384820.10388005374</v>
      </c>
      <c r="D162" s="307">
        <f>Ressources!L162</f>
        <v>-12407</v>
      </c>
      <c r="E162" s="335">
        <f>Ressources!T162</f>
        <v>-17780.014036478882</v>
      </c>
      <c r="F162" s="308">
        <f t="shared" si="10"/>
        <v>-415007.11791653262</v>
      </c>
      <c r="G162" s="307">
        <f>'Besoins structurels'!I162</f>
        <v>-14925</v>
      </c>
      <c r="H162" s="307">
        <f>'Besoins structurels'!N162</f>
        <v>-68</v>
      </c>
      <c r="I162" s="307">
        <f>'Besoins structurels'!V162</f>
        <v>-21285</v>
      </c>
      <c r="J162" s="309">
        <f t="shared" si="11"/>
        <v>-36278</v>
      </c>
      <c r="K162" s="307">
        <f>'Charges des villes'!N162</f>
        <v>112364.13559744864</v>
      </c>
      <c r="L162" s="307">
        <f>'Charges des villes'!U162</f>
        <v>24479.928898334398</v>
      </c>
      <c r="M162" s="302">
        <f t="shared" si="12"/>
        <v>136844.06449578304</v>
      </c>
      <c r="N162" s="308">
        <f>-VLOOKUP(A162,Paramètres!$B$23:$C$322,2,FALSE)*$N$5</f>
        <v>-25700</v>
      </c>
      <c r="O162" s="322"/>
      <c r="P162" s="602">
        <f t="shared" si="13"/>
        <v>-340141.05342074961</v>
      </c>
      <c r="Q162" s="603"/>
      <c r="R162" s="603"/>
      <c r="S162" s="604"/>
      <c r="T162" s="308">
        <f>PCS!D162</f>
        <v>235617.10992032176</v>
      </c>
      <c r="U162" s="303">
        <f>Police!U162</f>
        <v>35084.315375317339</v>
      </c>
      <c r="V162" s="336">
        <f t="shared" si="14"/>
        <v>-69439.62812511051</v>
      </c>
      <c r="W162" s="180"/>
      <c r="X162" s="180"/>
      <c r="Y162" s="180"/>
      <c r="Z162" s="15"/>
    </row>
    <row r="163" spans="1:26" x14ac:dyDescent="0.25">
      <c r="A163" s="111">
        <f>Données!A163</f>
        <v>5673</v>
      </c>
      <c r="B163" s="119" t="str">
        <f>Données!B163</f>
        <v>Hermenches</v>
      </c>
      <c r="C163" s="307">
        <f>Ressources!H163</f>
        <v>-489315.86164479598</v>
      </c>
      <c r="D163" s="307">
        <f>Ressources!L163</f>
        <v>0</v>
      </c>
      <c r="E163" s="335">
        <f>Ressources!T163</f>
        <v>-82728.476525943435</v>
      </c>
      <c r="F163" s="308">
        <f t="shared" si="10"/>
        <v>-572044.33817073936</v>
      </c>
      <c r="G163" s="307">
        <f>'Besoins structurels'!I163</f>
        <v>-21293</v>
      </c>
      <c r="H163" s="307">
        <f>'Besoins structurels'!N163</f>
        <v>-4757</v>
      </c>
      <c r="I163" s="307">
        <f>'Besoins structurels'!V163</f>
        <v>0</v>
      </c>
      <c r="J163" s="309">
        <f t="shared" si="11"/>
        <v>-26050</v>
      </c>
      <c r="K163" s="307">
        <f>'Charges des villes'!N163</f>
        <v>169010.51800607977</v>
      </c>
      <c r="L163" s="307">
        <f>'Charges des villes'!U163</f>
        <v>36821.050078486449</v>
      </c>
      <c r="M163" s="302">
        <f t="shared" si="12"/>
        <v>205831.56808456621</v>
      </c>
      <c r="N163" s="308">
        <f>-VLOOKUP(A163,Paramètres!$B$23:$C$322,2,FALSE)*$N$5</f>
        <v>-3700</v>
      </c>
      <c r="O163" s="322"/>
      <c r="P163" s="602">
        <f t="shared" si="13"/>
        <v>-395962.77008617314</v>
      </c>
      <c r="Q163" s="603"/>
      <c r="R163" s="603"/>
      <c r="S163" s="604"/>
      <c r="T163" s="308">
        <f>PCS!D163</f>
        <v>354399.28930164099</v>
      </c>
      <c r="U163" s="303">
        <f>Police!U163</f>
        <v>52771.449572791375</v>
      </c>
      <c r="V163" s="336">
        <f t="shared" si="14"/>
        <v>11207.968788259226</v>
      </c>
      <c r="W163" s="180"/>
      <c r="X163" s="180"/>
      <c r="Y163" s="180"/>
      <c r="Z163" s="15"/>
    </row>
    <row r="164" spans="1:26" x14ac:dyDescent="0.25">
      <c r="A164" s="111">
        <f>Données!A164</f>
        <v>5674</v>
      </c>
      <c r="B164" s="119" t="str">
        <f>Données!B164</f>
        <v>Lovatens</v>
      </c>
      <c r="C164" s="307">
        <f>Ressources!H164</f>
        <v>-136837.03191875332</v>
      </c>
      <c r="D164" s="307">
        <f>Ressources!L164</f>
        <v>0</v>
      </c>
      <c r="E164" s="335">
        <f>Ressources!T164</f>
        <v>-31482.796626218136</v>
      </c>
      <c r="F164" s="308">
        <f t="shared" si="10"/>
        <v>-168319.82854497145</v>
      </c>
      <c r="G164" s="307">
        <f>'Besoins structurels'!I164</f>
        <v>-24608</v>
      </c>
      <c r="H164" s="307">
        <f>'Besoins structurels'!N164</f>
        <v>-574</v>
      </c>
      <c r="I164" s="307">
        <f>'Besoins structurels'!V164</f>
        <v>0</v>
      </c>
      <c r="J164" s="309">
        <f t="shared" si="11"/>
        <v>-25182</v>
      </c>
      <c r="K164" s="307">
        <f>'Charges des villes'!N164</f>
        <v>70575.820705835504</v>
      </c>
      <c r="L164" s="307">
        <f>'Charges des villes'!U164</f>
        <v>15375.823109697638</v>
      </c>
      <c r="M164" s="302">
        <f t="shared" si="12"/>
        <v>85951.643815533142</v>
      </c>
      <c r="N164" s="308">
        <f>-VLOOKUP(A164,Paramètres!$B$23:$C$322,2,FALSE)*$N$5</f>
        <v>0</v>
      </c>
      <c r="O164" s="322"/>
      <c r="P164" s="602">
        <f t="shared" si="13"/>
        <v>-107550.1847294383</v>
      </c>
      <c r="Q164" s="603"/>
      <c r="R164" s="603"/>
      <c r="S164" s="604"/>
      <c r="T164" s="308">
        <f>PCS!D164</f>
        <v>147990.91201606987</v>
      </c>
      <c r="U164" s="303">
        <f>Police!U164</f>
        <v>22036.429491934858</v>
      </c>
      <c r="V164" s="336">
        <f t="shared" si="14"/>
        <v>62477.156778566423</v>
      </c>
      <c r="W164" s="180"/>
      <c r="X164" s="180"/>
      <c r="Y164" s="180"/>
      <c r="Z164" s="15"/>
    </row>
    <row r="165" spans="1:26" x14ac:dyDescent="0.25">
      <c r="A165" s="111">
        <f>Données!A165</f>
        <v>5675</v>
      </c>
      <c r="B165" s="119" t="str">
        <f>Données!B165</f>
        <v>Lucens</v>
      </c>
      <c r="C165" s="307">
        <f>Ressources!H165</f>
        <v>-8398949.1171571333</v>
      </c>
      <c r="D165" s="307">
        <f>Ressources!L165</f>
        <v>-405768</v>
      </c>
      <c r="E165" s="335">
        <f>Ressources!T165</f>
        <v>-717276.78523328376</v>
      </c>
      <c r="F165" s="308">
        <f t="shared" si="10"/>
        <v>-9521993.9023904167</v>
      </c>
      <c r="G165" s="307">
        <f>'Besoins structurels'!I165</f>
        <v>0</v>
      </c>
      <c r="H165" s="307">
        <f>'Besoins structurels'!N165</f>
        <v>-12670</v>
      </c>
      <c r="I165" s="307">
        <f>'Besoins structurels'!V165</f>
        <v>-267325</v>
      </c>
      <c r="J165" s="309">
        <f t="shared" si="11"/>
        <v>-279995</v>
      </c>
      <c r="K165" s="307">
        <f>'Charges des villes'!N165</f>
        <v>782912.72942871647</v>
      </c>
      <c r="L165" s="307">
        <f>'Charges des villes'!U165</f>
        <v>494858.7279779003</v>
      </c>
      <c r="M165" s="302">
        <f t="shared" si="12"/>
        <v>1277771.4574066168</v>
      </c>
      <c r="N165" s="308">
        <f>-VLOOKUP(A165,Paramètres!$B$23:$C$322,2,FALSE)*$N$5</f>
        <v>0</v>
      </c>
      <c r="O165" s="322"/>
      <c r="P165" s="602">
        <f t="shared" si="13"/>
        <v>-8524217.444983799</v>
      </c>
      <c r="Q165" s="603"/>
      <c r="R165" s="603"/>
      <c r="S165" s="604"/>
      <c r="T165" s="308">
        <f>PCS!D165</f>
        <v>4762970.6683066692</v>
      </c>
      <c r="U165" s="303">
        <f>Police!U165</f>
        <v>827752.14095420274</v>
      </c>
      <c r="V165" s="336">
        <f t="shared" si="14"/>
        <v>-2933494.6357229268</v>
      </c>
      <c r="W165" s="180"/>
      <c r="X165" s="180"/>
      <c r="Y165" s="180"/>
      <c r="Z165" s="15"/>
    </row>
    <row r="166" spans="1:26" x14ac:dyDescent="0.25">
      <c r="A166" s="111">
        <f>Données!A166</f>
        <v>5678</v>
      </c>
      <c r="B166" s="119" t="str">
        <f>Données!B166</f>
        <v>Moudon</v>
      </c>
      <c r="C166" s="307">
        <f>Ressources!H166</f>
        <v>-11188193.733435676</v>
      </c>
      <c r="D166" s="307">
        <f>Ressources!L166</f>
        <v>-426115</v>
      </c>
      <c r="E166" s="335">
        <f>Ressources!T166</f>
        <v>-1051118.9014783921</v>
      </c>
      <c r="F166" s="308">
        <f t="shared" si="10"/>
        <v>-12665427.634914067</v>
      </c>
      <c r="G166" s="307">
        <f>'Besoins structurels'!I166</f>
        <v>0</v>
      </c>
      <c r="H166" s="307">
        <f>'Besoins structurels'!N166</f>
        <v>-4204</v>
      </c>
      <c r="I166" s="307">
        <f>'Besoins structurels'!V166</f>
        <v>-435950</v>
      </c>
      <c r="J166" s="309">
        <f t="shared" si="11"/>
        <v>-440154</v>
      </c>
      <c r="K166" s="307">
        <f>'Charges des villes'!N166</f>
        <v>648367.87092610961</v>
      </c>
      <c r="L166" s="307">
        <f>'Charges des villes'!U166</f>
        <v>692620.1370532877</v>
      </c>
      <c r="M166" s="302">
        <f t="shared" si="12"/>
        <v>1340988.0079793972</v>
      </c>
      <c r="N166" s="308">
        <f>-VLOOKUP(A166,Paramètres!$B$23:$C$322,2,FALSE)*$N$5</f>
        <v>0</v>
      </c>
      <c r="O166" s="322"/>
      <c r="P166" s="602">
        <f t="shared" si="13"/>
        <v>-11764593.62693467</v>
      </c>
      <c r="Q166" s="603"/>
      <c r="R166" s="603"/>
      <c r="S166" s="604"/>
      <c r="T166" s="308">
        <f>PCS!D166</f>
        <v>6666406.411671252</v>
      </c>
      <c r="U166" s="303">
        <f>Police!U166</f>
        <v>1205650.0733354273</v>
      </c>
      <c r="V166" s="336">
        <f t="shared" si="14"/>
        <v>-3892537.1419279906</v>
      </c>
      <c r="W166" s="180"/>
      <c r="X166" s="180"/>
      <c r="Y166" s="180"/>
      <c r="Z166" s="15"/>
    </row>
    <row r="167" spans="1:26" x14ac:dyDescent="0.25">
      <c r="A167" s="111">
        <f>Données!A167</f>
        <v>5680</v>
      </c>
      <c r="B167" s="119" t="str">
        <f>Données!B167</f>
        <v>Ogens</v>
      </c>
      <c r="C167" s="307">
        <f>Ressources!H167</f>
        <v>-363577.93275626085</v>
      </c>
      <c r="D167" s="307">
        <f>Ressources!L167</f>
        <v>0</v>
      </c>
      <c r="E167" s="335">
        <f>Ressources!T167</f>
        <v>-45369.386158990819</v>
      </c>
      <c r="F167" s="308">
        <f t="shared" si="10"/>
        <v>-408947.31891525164</v>
      </c>
      <c r="G167" s="307">
        <f>'Besoins structurels'!I167</f>
        <v>-8052</v>
      </c>
      <c r="H167" s="307">
        <f>'Besoins structurels'!N167</f>
        <v>0</v>
      </c>
      <c r="I167" s="307">
        <f>'Besoins structurels'!V167</f>
        <v>-69823</v>
      </c>
      <c r="J167" s="309">
        <f t="shared" si="11"/>
        <v>-77875</v>
      </c>
      <c r="K167" s="307">
        <f>'Charges des villes'!N167</f>
        <v>158795.59658812991</v>
      </c>
      <c r="L167" s="307">
        <f>'Charges des villes'!U167</f>
        <v>34595.601996819685</v>
      </c>
      <c r="M167" s="302">
        <f t="shared" si="12"/>
        <v>193391.1985849496</v>
      </c>
      <c r="N167" s="308">
        <f>-VLOOKUP(A167,Paramètres!$B$23:$C$322,2,FALSE)*$N$5</f>
        <v>0</v>
      </c>
      <c r="O167" s="322"/>
      <c r="P167" s="602">
        <f t="shared" si="13"/>
        <v>-293431.12033030204</v>
      </c>
      <c r="Q167" s="603"/>
      <c r="R167" s="603"/>
      <c r="S167" s="604"/>
      <c r="T167" s="308">
        <f>PCS!D167</f>
        <v>332979.55203615723</v>
      </c>
      <c r="U167" s="303">
        <f>Police!U167</f>
        <v>49581.966356853431</v>
      </c>
      <c r="V167" s="336">
        <f t="shared" si="14"/>
        <v>89130.398062708613</v>
      </c>
      <c r="W167" s="180"/>
      <c r="X167" s="180"/>
      <c r="Y167" s="180"/>
      <c r="Z167" s="15"/>
    </row>
    <row r="168" spans="1:26" x14ac:dyDescent="0.25">
      <c r="A168" s="111">
        <f>Données!A168</f>
        <v>5683</v>
      </c>
      <c r="B168" s="119" t="str">
        <f>Données!B168</f>
        <v>Prévonloup</v>
      </c>
      <c r="C168" s="307">
        <f>Ressources!H168</f>
        <v>-391387.39825460932</v>
      </c>
      <c r="D168" s="307">
        <f>Ressources!L168</f>
        <v>-11625</v>
      </c>
      <c r="E168" s="335">
        <f>Ressources!T168</f>
        <v>-32242.467335054716</v>
      </c>
      <c r="F168" s="308">
        <f t="shared" si="10"/>
        <v>-435254.86558966403</v>
      </c>
      <c r="G168" s="307">
        <f>'Besoins structurels'!I168</f>
        <v>0</v>
      </c>
      <c r="H168" s="307">
        <f>'Besoins structurels'!N168</f>
        <v>-730</v>
      </c>
      <c r="I168" s="307">
        <f>'Besoins structurels'!V168</f>
        <v>-27028</v>
      </c>
      <c r="J168" s="309">
        <f t="shared" si="11"/>
        <v>-27758</v>
      </c>
      <c r="K168" s="307">
        <f>'Charges des villes'!N168</f>
        <v>115614.33786679634</v>
      </c>
      <c r="L168" s="307">
        <f>'Charges des villes'!U168</f>
        <v>25188.02601522837</v>
      </c>
      <c r="M168" s="302">
        <f t="shared" si="12"/>
        <v>140802.36388202471</v>
      </c>
      <c r="N168" s="308">
        <f>-VLOOKUP(A168,Paramètres!$B$23:$C$322,2,FALSE)*$N$5</f>
        <v>0</v>
      </c>
      <c r="O168" s="322"/>
      <c r="P168" s="602">
        <f t="shared" si="13"/>
        <v>-322210.50170763931</v>
      </c>
      <c r="Q168" s="603"/>
      <c r="R168" s="603"/>
      <c r="S168" s="604"/>
      <c r="T168" s="308">
        <f>PCS!D168</f>
        <v>242432.48086843023</v>
      </c>
      <c r="U168" s="303">
        <f>Police!U168</f>
        <v>36099.15094402487</v>
      </c>
      <c r="V168" s="336">
        <f t="shared" si="14"/>
        <v>-43678.869895184216</v>
      </c>
      <c r="W168" s="180"/>
      <c r="X168" s="180"/>
      <c r="Y168" s="180"/>
      <c r="Z168" s="15"/>
    </row>
    <row r="169" spans="1:26" x14ac:dyDescent="0.25">
      <c r="A169" s="111">
        <f>Données!A169</f>
        <v>5684</v>
      </c>
      <c r="B169" s="119" t="str">
        <f>Données!B169</f>
        <v>Rossenges</v>
      </c>
      <c r="C169" s="307">
        <f>Ressources!H169</f>
        <v>-165743.28028630809</v>
      </c>
      <c r="D169" s="307">
        <f>Ressources!L169</f>
        <v>-13041</v>
      </c>
      <c r="E169" s="335">
        <f>Ressources!T169</f>
        <v>-21047.388640459787</v>
      </c>
      <c r="F169" s="308">
        <f t="shared" si="10"/>
        <v>-199831.66892676789</v>
      </c>
      <c r="G169" s="307">
        <f>'Besoins structurels'!I169</f>
        <v>-4617</v>
      </c>
      <c r="H169" s="307">
        <f>'Besoins structurels'!N169</f>
        <v>0</v>
      </c>
      <c r="I169" s="307">
        <f>'Besoins structurels'!V169</f>
        <v>0</v>
      </c>
      <c r="J169" s="309">
        <f t="shared" si="11"/>
        <v>-4617</v>
      </c>
      <c r="K169" s="307">
        <f>'Charges des villes'!N169</f>
        <v>38073.798012358631</v>
      </c>
      <c r="L169" s="307">
        <f>'Charges des villes'!U169</f>
        <v>8294.851940757937</v>
      </c>
      <c r="M169" s="302">
        <f t="shared" si="12"/>
        <v>46368.649953116568</v>
      </c>
      <c r="N169" s="308">
        <f>-VLOOKUP(A169,Paramètres!$B$23:$C$322,2,FALSE)*$N$5</f>
        <v>0</v>
      </c>
      <c r="O169" s="322"/>
      <c r="P169" s="602">
        <f t="shared" si="13"/>
        <v>-158080.01897365131</v>
      </c>
      <c r="Q169" s="603"/>
      <c r="R169" s="603"/>
      <c r="S169" s="604"/>
      <c r="T169" s="308">
        <f>PCS!D169</f>
        <v>79837.202534985059</v>
      </c>
      <c r="U169" s="303">
        <f>Police!U169</f>
        <v>11888.073804859596</v>
      </c>
      <c r="V169" s="336">
        <f t="shared" si="14"/>
        <v>-66354.742633806658</v>
      </c>
      <c r="W169" s="180"/>
      <c r="X169" s="180"/>
      <c r="Y169" s="180"/>
      <c r="Z169" s="15"/>
    </row>
    <row r="170" spans="1:26" x14ac:dyDescent="0.25">
      <c r="A170" s="111">
        <f>Données!A170</f>
        <v>5688</v>
      </c>
      <c r="B170" s="119" t="str">
        <f>Données!B170</f>
        <v>Syens</v>
      </c>
      <c r="C170" s="307">
        <f>Ressources!H170</f>
        <v>-158743.54592658652</v>
      </c>
      <c r="D170" s="307">
        <f>Ressources!L170</f>
        <v>0</v>
      </c>
      <c r="E170" s="335">
        <f>Ressources!T170</f>
        <v>9011.622143582812</v>
      </c>
      <c r="F170" s="308">
        <f t="shared" si="10"/>
        <v>-149731.9237830037</v>
      </c>
      <c r="G170" s="307">
        <f>'Besoins structurels'!I170</f>
        <v>-15024</v>
      </c>
      <c r="H170" s="307">
        <f>'Besoins structurels'!N170</f>
        <v>0</v>
      </c>
      <c r="I170" s="307">
        <f>'Besoins structurels'!V170</f>
        <v>-4639</v>
      </c>
      <c r="J170" s="309">
        <f t="shared" si="11"/>
        <v>-19663</v>
      </c>
      <c r="K170" s="307">
        <f>'Charges des villes'!N170</f>
        <v>66861.303826581017</v>
      </c>
      <c r="L170" s="307">
        <f>'Charges des villes'!U170</f>
        <v>14566.569261818815</v>
      </c>
      <c r="M170" s="302">
        <f t="shared" si="12"/>
        <v>81427.873088399836</v>
      </c>
      <c r="N170" s="308">
        <f>-VLOOKUP(A170,Paramètres!$B$23:$C$322,2,FALSE)*$N$5</f>
        <v>0</v>
      </c>
      <c r="O170" s="322"/>
      <c r="P170" s="602">
        <f t="shared" si="13"/>
        <v>-87967.050694603866</v>
      </c>
      <c r="Q170" s="603"/>
      <c r="R170" s="603"/>
      <c r="S170" s="604"/>
      <c r="T170" s="308">
        <f>PCS!D170</f>
        <v>140201.91664680303</v>
      </c>
      <c r="U170" s="303">
        <f>Police!U170</f>
        <v>20876.617413411972</v>
      </c>
      <c r="V170" s="336">
        <f t="shared" si="14"/>
        <v>73111.483365611144</v>
      </c>
      <c r="W170" s="180"/>
      <c r="X170" s="180"/>
      <c r="Y170" s="180"/>
      <c r="Z170" s="15"/>
    </row>
    <row r="171" spans="1:26" x14ac:dyDescent="0.25">
      <c r="A171" s="111">
        <f>Données!A171</f>
        <v>5690</v>
      </c>
      <c r="B171" s="119" t="str">
        <f>Données!B171</f>
        <v>Villars-le-Comte</v>
      </c>
      <c r="C171" s="307">
        <f>Ressources!H171</f>
        <v>-114374.46464928256</v>
      </c>
      <c r="D171" s="307">
        <f>Ressources!L171</f>
        <v>0</v>
      </c>
      <c r="E171" s="335">
        <f>Ressources!T171</f>
        <v>-9859.2857880403935</v>
      </c>
      <c r="F171" s="308">
        <f t="shared" si="10"/>
        <v>-124233.75043732295</v>
      </c>
      <c r="G171" s="307">
        <f>'Besoins structurels'!I171</f>
        <v>-34160</v>
      </c>
      <c r="H171" s="307">
        <f>'Besoins structurels'!N171</f>
        <v>-3054</v>
      </c>
      <c r="I171" s="307">
        <f>'Besoins structurels'!V171</f>
        <v>0</v>
      </c>
      <c r="J171" s="309">
        <f t="shared" si="11"/>
        <v>-37214</v>
      </c>
      <c r="K171" s="307">
        <f>'Charges des villes'!N171</f>
        <v>59896.584677978826</v>
      </c>
      <c r="L171" s="307">
        <f>'Charges des villes'!U171</f>
        <v>13049.218297046022</v>
      </c>
      <c r="M171" s="302">
        <f t="shared" si="12"/>
        <v>72945.802975024853</v>
      </c>
      <c r="N171" s="308">
        <f>-VLOOKUP(A171,Paramètres!$B$23:$C$322,2,FALSE)*$N$5</f>
        <v>0</v>
      </c>
      <c r="O171" s="322"/>
      <c r="P171" s="602">
        <f t="shared" si="13"/>
        <v>-88501.947462298092</v>
      </c>
      <c r="Q171" s="603"/>
      <c r="R171" s="603"/>
      <c r="S171" s="604"/>
      <c r="T171" s="308">
        <f>PCS!D171</f>
        <v>125597.55032942772</v>
      </c>
      <c r="U171" s="303">
        <f>Police!U171</f>
        <v>18701.969766181555</v>
      </c>
      <c r="V171" s="336">
        <f t="shared" si="14"/>
        <v>55797.572633311182</v>
      </c>
      <c r="W171" s="180"/>
      <c r="X171" s="180"/>
      <c r="Y171" s="180"/>
      <c r="Z171" s="15"/>
    </row>
    <row r="172" spans="1:26" x14ac:dyDescent="0.25">
      <c r="A172" s="111">
        <f>Données!A172</f>
        <v>5692</v>
      </c>
      <c r="B172" s="119" t="str">
        <f>Données!B172</f>
        <v>Vucherens</v>
      </c>
      <c r="C172" s="307">
        <f>Ressources!H172</f>
        <v>-818658.34576620511</v>
      </c>
      <c r="D172" s="307">
        <f>Ressources!L172</f>
        <v>0</v>
      </c>
      <c r="E172" s="335">
        <f>Ressources!T172</f>
        <v>-60020.948756725658</v>
      </c>
      <c r="F172" s="308">
        <f t="shared" si="10"/>
        <v>-878679.29452293075</v>
      </c>
      <c r="G172" s="307">
        <f>'Besoins structurels'!I172</f>
        <v>0</v>
      </c>
      <c r="H172" s="307">
        <f>'Besoins structurels'!N172</f>
        <v>-10345</v>
      </c>
      <c r="I172" s="307">
        <f>'Besoins structurels'!V172</f>
        <v>-96184</v>
      </c>
      <c r="J172" s="309">
        <f t="shared" si="11"/>
        <v>-106529</v>
      </c>
      <c r="K172" s="307">
        <f>'Charges des villes'!N172</f>
        <v>294375.46268091915</v>
      </c>
      <c r="L172" s="307">
        <f>'Charges des villes'!U172</f>
        <v>64133.367444396732</v>
      </c>
      <c r="M172" s="302">
        <f t="shared" si="12"/>
        <v>358508.83012531587</v>
      </c>
      <c r="N172" s="308">
        <f>-VLOOKUP(A172,Paramètres!$B$23:$C$322,2,FALSE)*$N$5</f>
        <v>0</v>
      </c>
      <c r="O172" s="322"/>
      <c r="P172" s="602">
        <f t="shared" si="13"/>
        <v>-626699.46439761482</v>
      </c>
      <c r="Q172" s="603"/>
      <c r="R172" s="603"/>
      <c r="S172" s="604"/>
      <c r="T172" s="308">
        <f>PCS!D172</f>
        <v>617277.88301439665</v>
      </c>
      <c r="U172" s="303">
        <f>Police!U172</f>
        <v>91915.107222938808</v>
      </c>
      <c r="V172" s="336">
        <f t="shared" si="14"/>
        <v>82493.525839720634</v>
      </c>
      <c r="W172" s="180"/>
      <c r="X172" s="180"/>
      <c r="Y172" s="180"/>
      <c r="Z172" s="15"/>
    </row>
    <row r="173" spans="1:26" x14ac:dyDescent="0.25">
      <c r="A173" s="111">
        <f>Données!A173</f>
        <v>5693</v>
      </c>
      <c r="B173" s="119" t="str">
        <f>Données!B173</f>
        <v>Montanaire</v>
      </c>
      <c r="C173" s="307">
        <f>Ressources!H173</f>
        <v>-3671430.1760122986</v>
      </c>
      <c r="D173" s="307">
        <f>Ressources!L173</f>
        <v>0</v>
      </c>
      <c r="E173" s="335">
        <f>Ressources!T173</f>
        <v>-560970.76581894082</v>
      </c>
      <c r="F173" s="308">
        <f t="shared" si="10"/>
        <v>-4232400.9418312395</v>
      </c>
      <c r="G173" s="307">
        <f>'Besoins structurels'!I173</f>
        <v>-123513</v>
      </c>
      <c r="H173" s="307">
        <f>'Besoins structurels'!N173</f>
        <v>-101924</v>
      </c>
      <c r="I173" s="307">
        <f>'Besoins structurels'!V173</f>
        <v>-158547</v>
      </c>
      <c r="J173" s="309">
        <f t="shared" si="11"/>
        <v>-383984</v>
      </c>
      <c r="K173" s="307">
        <f>'Charges des villes'!N173</f>
        <v>880807.74844578537</v>
      </c>
      <c r="L173" s="307">
        <f>'Charges des villes'!U173</f>
        <v>288903.62369273981</v>
      </c>
      <c r="M173" s="302">
        <f t="shared" si="12"/>
        <v>1169711.3721385251</v>
      </c>
      <c r="N173" s="308">
        <f>-VLOOKUP(A173,Paramètres!$B$23:$C$322,2,FALSE)*$N$5</f>
        <v>0</v>
      </c>
      <c r="O173" s="322"/>
      <c r="P173" s="602">
        <f t="shared" si="13"/>
        <v>-3446673.5696927141</v>
      </c>
      <c r="Q173" s="603"/>
      <c r="R173" s="603"/>
      <c r="S173" s="604"/>
      <c r="T173" s="308">
        <f>PCS!D173</f>
        <v>2780671.34682826</v>
      </c>
      <c r="U173" s="303">
        <f>Police!U173</f>
        <v>459523.39858990943</v>
      </c>
      <c r="V173" s="336">
        <f t="shared" si="14"/>
        <v>-206478.82427454472</v>
      </c>
      <c r="W173" s="180"/>
      <c r="X173" s="180"/>
      <c r="Y173" s="180"/>
      <c r="Z173" s="15"/>
    </row>
    <row r="174" spans="1:26" x14ac:dyDescent="0.25">
      <c r="A174" s="111">
        <f>Données!A174</f>
        <v>5701</v>
      </c>
      <c r="B174" s="119" t="str">
        <f>Données!B174</f>
        <v>Arnex-sur-Nyon</v>
      </c>
      <c r="C174" s="307">
        <f>Ressources!H174</f>
        <v>259393.76660440562</v>
      </c>
      <c r="D174" s="307">
        <f>Ressources!L174</f>
        <v>0</v>
      </c>
      <c r="E174" s="335">
        <f>Ressources!T174</f>
        <v>95452.445884317291</v>
      </c>
      <c r="F174" s="308">
        <f t="shared" si="10"/>
        <v>354846.21248872293</v>
      </c>
      <c r="G174" s="307">
        <f>'Besoins structurels'!I174</f>
        <v>0</v>
      </c>
      <c r="H174" s="307">
        <f>'Besoins structurels'!N174</f>
        <v>0</v>
      </c>
      <c r="I174" s="307">
        <f>'Besoins structurels'!V174</f>
        <v>0</v>
      </c>
      <c r="J174" s="309">
        <f t="shared" si="11"/>
        <v>0</v>
      </c>
      <c r="K174" s="307">
        <f>'Charges des villes'!N174</f>
        <v>127222.20311446665</v>
      </c>
      <c r="L174" s="307">
        <f>'Charges des villes'!U174</f>
        <v>27716.944289849689</v>
      </c>
      <c r="M174" s="302">
        <f t="shared" si="12"/>
        <v>154939.14740431635</v>
      </c>
      <c r="N174" s="308">
        <f>-VLOOKUP(A174,Paramètres!$B$23:$C$322,2,FALSE)*$N$5</f>
        <v>0</v>
      </c>
      <c r="O174" s="322"/>
      <c r="P174" s="602">
        <f t="shared" si="13"/>
        <v>509785.35989303928</v>
      </c>
      <c r="Q174" s="603"/>
      <c r="R174" s="603"/>
      <c r="S174" s="604"/>
      <c r="T174" s="308">
        <f>PCS!D174</f>
        <v>266773.09139738907</v>
      </c>
      <c r="U174" s="303">
        <f>Police!U174</f>
        <v>39723.563689408889</v>
      </c>
      <c r="V174" s="336">
        <f t="shared" si="14"/>
        <v>816282.01497983735</v>
      </c>
      <c r="W174" s="180"/>
      <c r="X174" s="180"/>
      <c r="Y174" s="180"/>
      <c r="Z174" s="15"/>
    </row>
    <row r="175" spans="1:26" x14ac:dyDescent="0.25">
      <c r="A175" s="111">
        <f>Données!A175</f>
        <v>5702</v>
      </c>
      <c r="B175" s="119" t="str">
        <f>Données!B175</f>
        <v>Arzier-Le Muids</v>
      </c>
      <c r="C175" s="307">
        <f>Ressources!H175</f>
        <v>1857574.6149185547</v>
      </c>
      <c r="D175" s="307">
        <f>Ressources!L175</f>
        <v>0</v>
      </c>
      <c r="E175" s="335">
        <f>Ressources!T175</f>
        <v>749228.0867958673</v>
      </c>
      <c r="F175" s="308">
        <f t="shared" si="10"/>
        <v>2606802.7017144221</v>
      </c>
      <c r="G175" s="307">
        <f>'Besoins structurels'!I175</f>
        <v>-306236</v>
      </c>
      <c r="H175" s="307">
        <f>'Besoins structurels'!N175</f>
        <v>-357398</v>
      </c>
      <c r="I175" s="307">
        <f>'Besoins structurels'!V175</f>
        <v>-40507</v>
      </c>
      <c r="J175" s="309">
        <f t="shared" si="11"/>
        <v>-704141</v>
      </c>
      <c r="K175" s="307">
        <f>'Charges des villes'!N175</f>
        <v>912897.46763278614</v>
      </c>
      <c r="L175" s="307">
        <f>'Charges des villes'!U175</f>
        <v>303369.03622357378</v>
      </c>
      <c r="M175" s="302">
        <f t="shared" si="12"/>
        <v>1216266.50385636</v>
      </c>
      <c r="N175" s="308">
        <f>-VLOOKUP(A175,Paramètres!$B$23:$C$322,2,FALSE)*$N$5</f>
        <v>0</v>
      </c>
      <c r="O175" s="322"/>
      <c r="P175" s="602">
        <f t="shared" si="13"/>
        <v>3118928.2055707821</v>
      </c>
      <c r="Q175" s="603"/>
      <c r="R175" s="603"/>
      <c r="S175" s="604"/>
      <c r="T175" s="308">
        <f>PCS!D175</f>
        <v>2919899.6390539049</v>
      </c>
      <c r="U175" s="303">
        <f>Police!U175</f>
        <v>483758.42288665532</v>
      </c>
      <c r="V175" s="336">
        <f t="shared" si="14"/>
        <v>6522586.2675113427</v>
      </c>
      <c r="W175" s="180"/>
      <c r="X175" s="180"/>
      <c r="Y175" s="180"/>
      <c r="Z175" s="15"/>
    </row>
    <row r="176" spans="1:26" x14ac:dyDescent="0.25">
      <c r="A176" s="111">
        <f>Données!A176</f>
        <v>5703</v>
      </c>
      <c r="B176" s="119" t="str">
        <f>Données!B176</f>
        <v>Bassins</v>
      </c>
      <c r="C176" s="307">
        <f>Ressources!H176</f>
        <v>-344153.13073653588</v>
      </c>
      <c r="D176" s="307">
        <f>Ressources!L176</f>
        <v>0</v>
      </c>
      <c r="E176" s="335">
        <f>Ressources!T176</f>
        <v>-114935.30175847517</v>
      </c>
      <c r="F176" s="308">
        <f t="shared" si="10"/>
        <v>-459088.43249501102</v>
      </c>
      <c r="G176" s="307">
        <f>'Besoins structurels'!I176</f>
        <v>-101893</v>
      </c>
      <c r="H176" s="307">
        <f>'Besoins structurels'!N176</f>
        <v>-141547</v>
      </c>
      <c r="I176" s="307">
        <f>'Besoins structurels'!V176</f>
        <v>0</v>
      </c>
      <c r="J176" s="309">
        <f t="shared" si="11"/>
        <v>-243440</v>
      </c>
      <c r="K176" s="307">
        <f>'Charges des villes'!N176</f>
        <v>569335.50906426914</v>
      </c>
      <c r="L176" s="307">
        <f>'Charges des villes'!U176</f>
        <v>148498.08108576405</v>
      </c>
      <c r="M176" s="302">
        <f t="shared" si="12"/>
        <v>717833.59015003312</v>
      </c>
      <c r="N176" s="308">
        <f>-VLOOKUP(A176,Paramètres!$B$23:$C$322,2,FALSE)*$N$5</f>
        <v>0</v>
      </c>
      <c r="O176" s="322"/>
      <c r="P176" s="602">
        <f t="shared" si="13"/>
        <v>15305.157655022107</v>
      </c>
      <c r="Q176" s="603"/>
      <c r="R176" s="603"/>
      <c r="S176" s="604"/>
      <c r="T176" s="308">
        <f>PCS!D176</f>
        <v>1429280.6502604643</v>
      </c>
      <c r="U176" s="303">
        <f>Police!U176</f>
        <v>224291.13478652941</v>
      </c>
      <c r="V176" s="336">
        <f t="shared" si="14"/>
        <v>1668876.9427020159</v>
      </c>
      <c r="W176" s="180"/>
      <c r="X176" s="180"/>
      <c r="Y176" s="180"/>
      <c r="Z176" s="15"/>
    </row>
    <row r="177" spans="1:26" x14ac:dyDescent="0.25">
      <c r="A177" s="111">
        <f>Données!A177</f>
        <v>5704</v>
      </c>
      <c r="B177" s="119" t="str">
        <f>Données!B177</f>
        <v>Begnins</v>
      </c>
      <c r="C177" s="307">
        <f>Ressources!H177</f>
        <v>2972920.4218100272</v>
      </c>
      <c r="D177" s="307">
        <f>Ressources!L177</f>
        <v>0</v>
      </c>
      <c r="E177" s="335">
        <f>Ressources!T177</f>
        <v>-75072.449597819243</v>
      </c>
      <c r="F177" s="308">
        <f t="shared" si="10"/>
        <v>2897847.972212208</v>
      </c>
      <c r="G177" s="307">
        <f>'Besoins structurels'!I177</f>
        <v>0</v>
      </c>
      <c r="H177" s="307">
        <f>'Besoins structurels'!N177</f>
        <v>0</v>
      </c>
      <c r="I177" s="307">
        <f>'Besoins structurels'!V177</f>
        <v>0</v>
      </c>
      <c r="J177" s="309">
        <f t="shared" si="11"/>
        <v>0</v>
      </c>
      <c r="K177" s="307">
        <f>'Charges des villes'!N177</f>
        <v>699265.2112270199</v>
      </c>
      <c r="L177" s="307">
        <f>'Charges des villes'!U177</f>
        <v>207067.82832599385</v>
      </c>
      <c r="M177" s="302">
        <f t="shared" si="12"/>
        <v>906333.03955301375</v>
      </c>
      <c r="N177" s="308">
        <f>-VLOOKUP(A177,Paramètres!$B$23:$C$322,2,FALSE)*$N$5</f>
        <v>0</v>
      </c>
      <c r="O177" s="322"/>
      <c r="P177" s="602">
        <f t="shared" si="13"/>
        <v>3804181.0117652216</v>
      </c>
      <c r="Q177" s="603"/>
      <c r="R177" s="603"/>
      <c r="S177" s="604"/>
      <c r="T177" s="308">
        <f>PCS!D177</f>
        <v>1993009.1901111514</v>
      </c>
      <c r="U177" s="303">
        <f>Police!U177</f>
        <v>322417.56183419295</v>
      </c>
      <c r="V177" s="336">
        <f t="shared" si="14"/>
        <v>6119607.7637105659</v>
      </c>
      <c r="W177" s="180"/>
      <c r="X177" s="180"/>
      <c r="Y177" s="180"/>
      <c r="Z177" s="15"/>
    </row>
    <row r="178" spans="1:26" x14ac:dyDescent="0.25">
      <c r="A178" s="111">
        <f>Données!A178</f>
        <v>5705</v>
      </c>
      <c r="B178" s="119" t="str">
        <f>Données!B178</f>
        <v>Bogis-Bossey</v>
      </c>
      <c r="C178" s="307">
        <f>Ressources!H178</f>
        <v>559197.10163855762</v>
      </c>
      <c r="D178" s="307">
        <f>Ressources!L178</f>
        <v>0</v>
      </c>
      <c r="E178" s="335">
        <f>Ressources!T178</f>
        <v>25098.882152660313</v>
      </c>
      <c r="F178" s="308">
        <f t="shared" si="10"/>
        <v>584295.98379121791</v>
      </c>
      <c r="G178" s="307">
        <f>'Besoins structurels'!I178</f>
        <v>0</v>
      </c>
      <c r="H178" s="307">
        <f>'Besoins structurels'!N178</f>
        <v>0</v>
      </c>
      <c r="I178" s="307">
        <f>'Besoins structurels'!V178</f>
        <v>0</v>
      </c>
      <c r="J178" s="309">
        <f t="shared" si="11"/>
        <v>0</v>
      </c>
      <c r="K178" s="307">
        <f>'Charges des villes'!N178</f>
        <v>446206.34012044693</v>
      </c>
      <c r="L178" s="307">
        <f>'Charges des villes'!U178</f>
        <v>97211.618476443618</v>
      </c>
      <c r="M178" s="302">
        <f t="shared" si="12"/>
        <v>543417.95859689056</v>
      </c>
      <c r="N178" s="308">
        <f>-VLOOKUP(A178,Paramètres!$B$23:$C$322,2,FALSE)*$N$5</f>
        <v>0</v>
      </c>
      <c r="O178" s="322"/>
      <c r="P178" s="602">
        <f t="shared" si="13"/>
        <v>1127713.9423881085</v>
      </c>
      <c r="Q178" s="603"/>
      <c r="R178" s="603"/>
      <c r="S178" s="604"/>
      <c r="T178" s="308">
        <f>PCS!D178</f>
        <v>935653.06873317854</v>
      </c>
      <c r="U178" s="303">
        <f>Police!U178</f>
        <v>139322.42593256183</v>
      </c>
      <c r="V178" s="336">
        <f t="shared" si="14"/>
        <v>2202689.437053849</v>
      </c>
      <c r="W178" s="180"/>
      <c r="X178" s="180"/>
      <c r="Y178" s="180"/>
      <c r="Z178" s="15"/>
    </row>
    <row r="179" spans="1:26" x14ac:dyDescent="0.25">
      <c r="A179" s="111">
        <f>Données!A179</f>
        <v>5706</v>
      </c>
      <c r="B179" s="119" t="str">
        <f>Données!B179</f>
        <v>Borex</v>
      </c>
      <c r="C179" s="307">
        <f>Ressources!H179</f>
        <v>1052162.5799909288</v>
      </c>
      <c r="D179" s="307">
        <f>Ressources!L179</f>
        <v>0</v>
      </c>
      <c r="E179" s="335">
        <f>Ressources!T179</f>
        <v>-206063.77039093937</v>
      </c>
      <c r="F179" s="308">
        <f t="shared" si="10"/>
        <v>846098.80959998933</v>
      </c>
      <c r="G179" s="307">
        <f>'Besoins structurels'!I179</f>
        <v>0</v>
      </c>
      <c r="H179" s="307">
        <f>'Besoins structurels'!N179</f>
        <v>0</v>
      </c>
      <c r="I179" s="307">
        <f>'Besoins structurels'!V179</f>
        <v>0</v>
      </c>
      <c r="J179" s="309">
        <f t="shared" si="11"/>
        <v>0</v>
      </c>
      <c r="K179" s="307">
        <f>'Charges des villes'!N179</f>
        <v>502014.41986077133</v>
      </c>
      <c r="L179" s="307">
        <f>'Charges des villes'!U179</f>
        <v>118151.06179030817</v>
      </c>
      <c r="M179" s="302">
        <f t="shared" si="12"/>
        <v>620165.48165107949</v>
      </c>
      <c r="N179" s="308">
        <f>-VLOOKUP(A179,Paramètres!$B$23:$C$322,2,FALSE)*$N$5</f>
        <v>0</v>
      </c>
      <c r="O179" s="322"/>
      <c r="P179" s="602">
        <f t="shared" si="13"/>
        <v>1466264.2912510689</v>
      </c>
      <c r="Q179" s="603"/>
      <c r="R179" s="603"/>
      <c r="S179" s="604"/>
      <c r="T179" s="308">
        <f>PCS!D179</f>
        <v>1137193.3239129579</v>
      </c>
      <c r="U179" s="303">
        <f>Police!U179</f>
        <v>173448.42647167781</v>
      </c>
      <c r="V179" s="336">
        <f t="shared" si="14"/>
        <v>2776906.0416357042</v>
      </c>
      <c r="W179" s="180"/>
      <c r="X179" s="180"/>
      <c r="Y179" s="180"/>
      <c r="Z179" s="15"/>
    </row>
    <row r="180" spans="1:26" x14ac:dyDescent="0.25">
      <c r="A180" s="111">
        <f>Données!A180</f>
        <v>5707</v>
      </c>
      <c r="B180" s="119" t="str">
        <f>Données!B180</f>
        <v>Chavannes-de-Bogis</v>
      </c>
      <c r="C180" s="307">
        <f>Ressources!H180</f>
        <v>635344.47180011158</v>
      </c>
      <c r="D180" s="307">
        <f>Ressources!L180</f>
        <v>0</v>
      </c>
      <c r="E180" s="335">
        <f>Ressources!T180</f>
        <v>227872.27944665519</v>
      </c>
      <c r="F180" s="308">
        <f t="shared" si="10"/>
        <v>863216.75124676677</v>
      </c>
      <c r="G180" s="307">
        <f>'Besoins structurels'!I180</f>
        <v>0</v>
      </c>
      <c r="H180" s="307">
        <f>'Besoins structurels'!N180</f>
        <v>0</v>
      </c>
      <c r="I180" s="307">
        <f>'Besoins structurels'!V180</f>
        <v>0</v>
      </c>
      <c r="J180" s="309">
        <f t="shared" si="11"/>
        <v>0</v>
      </c>
      <c r="K180" s="307">
        <f>'Charges des villes'!N180</f>
        <v>559237.34568374441</v>
      </c>
      <c r="L180" s="307">
        <f>'Charges des villes'!U180</f>
        <v>143946.02819144566</v>
      </c>
      <c r="M180" s="302">
        <f t="shared" si="12"/>
        <v>703183.37387519004</v>
      </c>
      <c r="N180" s="308">
        <f>-VLOOKUP(A180,Paramètres!$B$23:$C$322,2,FALSE)*$N$5</f>
        <v>0</v>
      </c>
      <c r="O180" s="322"/>
      <c r="P180" s="602">
        <f t="shared" si="13"/>
        <v>1566400.1251219567</v>
      </c>
      <c r="Q180" s="603"/>
      <c r="R180" s="603"/>
      <c r="S180" s="604"/>
      <c r="T180" s="308">
        <f>PCS!D180</f>
        <v>1385467.5513083383</v>
      </c>
      <c r="U180" s="303">
        <f>Police!U180</f>
        <v>216664.72853930166</v>
      </c>
      <c r="V180" s="336">
        <f t="shared" si="14"/>
        <v>3168532.4049695968</v>
      </c>
      <c r="W180" s="180"/>
      <c r="X180" s="180"/>
      <c r="Y180" s="180"/>
      <c r="Z180" s="15"/>
    </row>
    <row r="181" spans="1:26" x14ac:dyDescent="0.25">
      <c r="A181" s="111">
        <f>Données!A181</f>
        <v>5708</v>
      </c>
      <c r="B181" s="119" t="str">
        <f>Données!B181</f>
        <v>Chavannes-des-Bois</v>
      </c>
      <c r="C181" s="307">
        <f>Ressources!H181</f>
        <v>1033799.0343642586</v>
      </c>
      <c r="D181" s="307">
        <f>Ressources!L181</f>
        <v>0</v>
      </c>
      <c r="E181" s="335">
        <f>Ressources!T181</f>
        <v>-106588.71821429231</v>
      </c>
      <c r="F181" s="308">
        <f t="shared" si="10"/>
        <v>927210.31614996633</v>
      </c>
      <c r="G181" s="307">
        <f>'Besoins structurels'!I181</f>
        <v>0</v>
      </c>
      <c r="H181" s="307">
        <f>'Besoins structurels'!N181</f>
        <v>0</v>
      </c>
      <c r="I181" s="307">
        <f>'Besoins structurels'!V181</f>
        <v>0</v>
      </c>
      <c r="J181" s="309">
        <f t="shared" si="11"/>
        <v>0</v>
      </c>
      <c r="K181" s="307">
        <f>'Charges des villes'!N181</f>
        <v>456421.26153839671</v>
      </c>
      <c r="L181" s="307">
        <f>'Charges des villes'!U181</f>
        <v>99437.066558110382</v>
      </c>
      <c r="M181" s="302">
        <f t="shared" si="12"/>
        <v>555858.32809650712</v>
      </c>
      <c r="N181" s="308">
        <f>-VLOOKUP(A181,Paramètres!$B$23:$C$322,2,FALSE)*$N$5</f>
        <v>0</v>
      </c>
      <c r="O181" s="322"/>
      <c r="P181" s="602">
        <f t="shared" si="13"/>
        <v>1483068.6442464734</v>
      </c>
      <c r="Q181" s="603"/>
      <c r="R181" s="603"/>
      <c r="S181" s="604"/>
      <c r="T181" s="308">
        <f>PCS!D181</f>
        <v>957072.80599866237</v>
      </c>
      <c r="U181" s="303">
        <f>Police!U181</f>
        <v>142511.90914849978</v>
      </c>
      <c r="V181" s="336">
        <f t="shared" si="14"/>
        <v>2582653.3593936358</v>
      </c>
      <c r="W181" s="180"/>
      <c r="X181" s="180"/>
      <c r="Y181" s="180"/>
      <c r="Z181" s="15"/>
    </row>
    <row r="182" spans="1:26" x14ac:dyDescent="0.25">
      <c r="A182" s="111">
        <f>Données!A182</f>
        <v>5709</v>
      </c>
      <c r="B182" s="119" t="str">
        <f>Données!B182</f>
        <v>Chéserex</v>
      </c>
      <c r="C182" s="307">
        <f>Ressources!H182</f>
        <v>3030670.3393448838</v>
      </c>
      <c r="D182" s="307">
        <f>Ressources!L182</f>
        <v>0</v>
      </c>
      <c r="E182" s="335">
        <f>Ressources!T182</f>
        <v>-149770.13939835178</v>
      </c>
      <c r="F182" s="308">
        <f t="shared" si="10"/>
        <v>2880900.199946532</v>
      </c>
      <c r="G182" s="307">
        <f>'Besoins structurels'!I182</f>
        <v>-7513</v>
      </c>
      <c r="H182" s="307">
        <f>'Besoins structurels'!N182</f>
        <v>0</v>
      </c>
      <c r="I182" s="307">
        <f>'Besoins structurels'!V182</f>
        <v>0</v>
      </c>
      <c r="J182" s="309">
        <f t="shared" si="11"/>
        <v>-7513</v>
      </c>
      <c r="K182" s="307">
        <f>'Charges des villes'!N182</f>
        <v>525352.39745131717</v>
      </c>
      <c r="L182" s="307">
        <f>'Charges des villes'!U182</f>
        <v>128671.36181273287</v>
      </c>
      <c r="M182" s="302">
        <f t="shared" si="12"/>
        <v>654023.75926405005</v>
      </c>
      <c r="N182" s="308">
        <f>-VLOOKUP(A182,Paramètres!$B$23:$C$322,2,FALSE)*$N$5</f>
        <v>0</v>
      </c>
      <c r="O182" s="322"/>
      <c r="P182" s="602">
        <f t="shared" si="13"/>
        <v>3527410.9592105821</v>
      </c>
      <c r="Q182" s="603"/>
      <c r="R182" s="603"/>
      <c r="S182" s="604"/>
      <c r="T182" s="308">
        <f>PCS!D182</f>
        <v>1238450.2637134269</v>
      </c>
      <c r="U182" s="303">
        <f>Police!U182</f>
        <v>191073.898687493</v>
      </c>
      <c r="V182" s="336">
        <f t="shared" si="14"/>
        <v>4956935.121611502</v>
      </c>
      <c r="W182" s="180"/>
      <c r="X182" s="180"/>
      <c r="Y182" s="180"/>
      <c r="Z182" s="15"/>
    </row>
    <row r="183" spans="1:26" x14ac:dyDescent="0.25">
      <c r="A183" s="111">
        <f>Données!A183</f>
        <v>5710</v>
      </c>
      <c r="B183" s="119" t="str">
        <f>Données!B183</f>
        <v>Coinsins</v>
      </c>
      <c r="C183" s="307">
        <f>Ressources!H183</f>
        <v>101225.22619075912</v>
      </c>
      <c r="D183" s="307">
        <f>Ressources!L183</f>
        <v>0</v>
      </c>
      <c r="E183" s="335">
        <f>Ressources!T183</f>
        <v>-29628.415324810863</v>
      </c>
      <c r="F183" s="308">
        <f t="shared" si="10"/>
        <v>71596.810865948253</v>
      </c>
      <c r="G183" s="307">
        <f>'Besoins structurels'!I183</f>
        <v>0</v>
      </c>
      <c r="H183" s="307">
        <f>'Besoins structurels'!N183</f>
        <v>0</v>
      </c>
      <c r="I183" s="307">
        <f>'Besoins structurels'!V183</f>
        <v>0</v>
      </c>
      <c r="J183" s="309">
        <f t="shared" si="11"/>
        <v>0</v>
      </c>
      <c r="K183" s="307">
        <f>'Charges des villes'!N183</f>
        <v>236800.45105247438</v>
      </c>
      <c r="L183" s="307">
        <f>'Charges des villes'!U183</f>
        <v>51589.932802274969</v>
      </c>
      <c r="M183" s="302">
        <f t="shared" si="12"/>
        <v>288390.38385474938</v>
      </c>
      <c r="N183" s="308">
        <f>-VLOOKUP(A183,Paramètres!$B$23:$C$322,2,FALSE)*$N$5</f>
        <v>0</v>
      </c>
      <c r="O183" s="322"/>
      <c r="P183" s="602">
        <f t="shared" si="13"/>
        <v>359987.19472069765</v>
      </c>
      <c r="Q183" s="603"/>
      <c r="R183" s="603"/>
      <c r="S183" s="604"/>
      <c r="T183" s="308">
        <f>PCS!D183</f>
        <v>496548.45479076076</v>
      </c>
      <c r="U183" s="303">
        <f>Police!U183</f>
        <v>73938.020005834071</v>
      </c>
      <c r="V183" s="336">
        <f t="shared" si="14"/>
        <v>930473.66951729241</v>
      </c>
      <c r="W183" s="180"/>
      <c r="X183" s="180"/>
      <c r="Y183" s="180"/>
      <c r="Z183" s="15"/>
    </row>
    <row r="184" spans="1:26" x14ac:dyDescent="0.25">
      <c r="A184" s="111">
        <f>Données!A184</f>
        <v>5711</v>
      </c>
      <c r="B184" s="119" t="str">
        <f>Données!B184</f>
        <v>Commugny</v>
      </c>
      <c r="C184" s="307">
        <f>Ressources!H184</f>
        <v>9662637.1879403554</v>
      </c>
      <c r="D184" s="307">
        <f>Ressources!L184</f>
        <v>0</v>
      </c>
      <c r="E184" s="335">
        <f>Ressources!T184</f>
        <v>25596.766403845744</v>
      </c>
      <c r="F184" s="308">
        <f t="shared" si="10"/>
        <v>9688233.9543442018</v>
      </c>
      <c r="G184" s="307">
        <f>'Besoins structurels'!I184</f>
        <v>0</v>
      </c>
      <c r="H184" s="307">
        <f>'Besoins structurels'!N184</f>
        <v>0</v>
      </c>
      <c r="I184" s="307">
        <f>'Besoins structurels'!V184</f>
        <v>0</v>
      </c>
      <c r="J184" s="309">
        <f t="shared" si="11"/>
        <v>0</v>
      </c>
      <c r="K184" s="307">
        <f>'Charges des villes'!N184</f>
        <v>905940.95508175797</v>
      </c>
      <c r="L184" s="307">
        <f>'Charges des villes'!U184</f>
        <v>300233.17756304337</v>
      </c>
      <c r="M184" s="302">
        <f t="shared" si="12"/>
        <v>1206174.1326448014</v>
      </c>
      <c r="N184" s="308">
        <f>-VLOOKUP(A184,Paramètres!$B$23:$C$322,2,FALSE)*$N$5</f>
        <v>0</v>
      </c>
      <c r="O184" s="322"/>
      <c r="P184" s="602">
        <f t="shared" si="13"/>
        <v>10894408.086989004</v>
      </c>
      <c r="Q184" s="603"/>
      <c r="R184" s="603"/>
      <c r="S184" s="604"/>
      <c r="T184" s="308">
        <f>PCS!D184</f>
        <v>2889717.2819979959</v>
      </c>
      <c r="U184" s="303">
        <f>Police!U184</f>
        <v>478504.6763607873</v>
      </c>
      <c r="V184" s="336">
        <f t="shared" si="14"/>
        <v>14262630.045347787</v>
      </c>
      <c r="W184" s="180"/>
      <c r="X184" s="180"/>
      <c r="Y184" s="180"/>
      <c r="Z184" s="15"/>
    </row>
    <row r="185" spans="1:26" x14ac:dyDescent="0.25">
      <c r="A185" s="111">
        <f>Données!A185</f>
        <v>5712</v>
      </c>
      <c r="B185" s="119" t="str">
        <f>Données!B185</f>
        <v>Coppet</v>
      </c>
      <c r="C185" s="307">
        <f>Ressources!H185</f>
        <v>14900154.371433526</v>
      </c>
      <c r="D185" s="307">
        <f>Ressources!L185</f>
        <v>0</v>
      </c>
      <c r="E185" s="335">
        <f>Ressources!T185</f>
        <v>21175394.89652919</v>
      </c>
      <c r="F185" s="308">
        <f t="shared" si="10"/>
        <v>36075549.267962717</v>
      </c>
      <c r="G185" s="307">
        <f>'Besoins structurels'!I185</f>
        <v>0</v>
      </c>
      <c r="H185" s="307">
        <f>'Besoins structurels'!N185</f>
        <v>-42</v>
      </c>
      <c r="I185" s="307">
        <f>'Besoins structurels'!V185</f>
        <v>0</v>
      </c>
      <c r="J185" s="309">
        <f t="shared" si="11"/>
        <v>-42</v>
      </c>
      <c r="K185" s="307">
        <f>'Charges des villes'!N185</f>
        <v>897086.60168233525</v>
      </c>
      <c r="L185" s="307">
        <f>'Charges des villes'!U185</f>
        <v>327039.7112740294</v>
      </c>
      <c r="M185" s="302">
        <f t="shared" si="12"/>
        <v>1224126.3129563646</v>
      </c>
      <c r="N185" s="308">
        <f>-VLOOKUP(A185,Paramètres!$B$23:$C$322,2,FALSE)*$N$5</f>
        <v>0</v>
      </c>
      <c r="O185" s="322"/>
      <c r="P185" s="602">
        <f t="shared" si="13"/>
        <v>37299633.580919079</v>
      </c>
      <c r="Q185" s="603"/>
      <c r="R185" s="603"/>
      <c r="S185" s="604"/>
      <c r="T185" s="308">
        <f>PCS!D185</f>
        <v>3147727.7536049597</v>
      </c>
      <c r="U185" s="303">
        <f>Police!U185</f>
        <v>526269.89037435071</v>
      </c>
      <c r="V185" s="336">
        <f t="shared" si="14"/>
        <v>40973631.224898383</v>
      </c>
      <c r="W185" s="180"/>
      <c r="X185" s="180"/>
      <c r="Y185" s="180"/>
      <c r="Z185" s="15"/>
    </row>
    <row r="186" spans="1:26" x14ac:dyDescent="0.25">
      <c r="A186" s="111">
        <f>Données!A186</f>
        <v>5713</v>
      </c>
      <c r="B186" s="119" t="str">
        <f>Données!B186</f>
        <v>Crans</v>
      </c>
      <c r="C186" s="307">
        <f>Ressources!H186</f>
        <v>9370004.2628280632</v>
      </c>
      <c r="D186" s="307">
        <f>Ressources!L186</f>
        <v>0</v>
      </c>
      <c r="E186" s="335">
        <f>Ressources!T186</f>
        <v>136322.52494802873</v>
      </c>
      <c r="F186" s="308">
        <f t="shared" si="10"/>
        <v>9506326.7877760921</v>
      </c>
      <c r="G186" s="307">
        <f>'Besoins structurels'!I186</f>
        <v>0</v>
      </c>
      <c r="H186" s="307">
        <f>'Besoins structurels'!N186</f>
        <v>0</v>
      </c>
      <c r="I186" s="307">
        <f>'Besoins structurels'!V186</f>
        <v>0</v>
      </c>
      <c r="J186" s="309">
        <f t="shared" si="11"/>
        <v>0</v>
      </c>
      <c r="K186" s="307">
        <f>'Charges des villes'!N186</f>
        <v>797105.1942027699</v>
      </c>
      <c r="L186" s="307">
        <f>'Charges des villes'!U186</f>
        <v>251172.16303538971</v>
      </c>
      <c r="M186" s="302">
        <f t="shared" si="12"/>
        <v>1048277.3572381596</v>
      </c>
      <c r="N186" s="308">
        <f>-VLOOKUP(A186,Paramètres!$B$23:$C$322,2,FALSE)*$N$5</f>
        <v>0</v>
      </c>
      <c r="O186" s="322"/>
      <c r="P186" s="602">
        <f t="shared" si="13"/>
        <v>10554604.145014253</v>
      </c>
      <c r="Q186" s="603"/>
      <c r="R186" s="603"/>
      <c r="S186" s="604"/>
      <c r="T186" s="308">
        <f>PCS!D186</f>
        <v>2417509.4377361941</v>
      </c>
      <c r="U186" s="303">
        <f>Police!U186</f>
        <v>74684.332432025883</v>
      </c>
      <c r="V186" s="336">
        <f t="shared" si="14"/>
        <v>13046797.915182473</v>
      </c>
      <c r="W186" s="180"/>
      <c r="X186" s="180"/>
      <c r="Y186" s="180"/>
      <c r="Z186" s="15"/>
    </row>
    <row r="187" spans="1:26" x14ac:dyDescent="0.25">
      <c r="A187" s="111">
        <f>Données!A187</f>
        <v>5714</v>
      </c>
      <c r="B187" s="119" t="str">
        <f>Données!B187</f>
        <v>Crassier</v>
      </c>
      <c r="C187" s="307">
        <f>Ressources!H187</f>
        <v>114694.97127069315</v>
      </c>
      <c r="D187" s="307">
        <f>Ressources!L187</f>
        <v>0</v>
      </c>
      <c r="E187" s="335">
        <f>Ressources!T187</f>
        <v>-153480.77439835179</v>
      </c>
      <c r="F187" s="308">
        <f t="shared" si="10"/>
        <v>-38785.803127658641</v>
      </c>
      <c r="G187" s="307">
        <f>'Besoins structurels'!I187</f>
        <v>0</v>
      </c>
      <c r="H187" s="307">
        <f>'Besoins structurels'!N187</f>
        <v>0</v>
      </c>
      <c r="I187" s="307">
        <f>'Besoins structurels'!V187</f>
        <v>0</v>
      </c>
      <c r="J187" s="309">
        <f t="shared" si="11"/>
        <v>0</v>
      </c>
      <c r="K187" s="307">
        <f>'Charges des villes'!N187</f>
        <v>525352.39745131717</v>
      </c>
      <c r="L187" s="307">
        <f>'Charges des villes'!U187</f>
        <v>128671.36181273287</v>
      </c>
      <c r="M187" s="302">
        <f t="shared" si="12"/>
        <v>654023.75926405005</v>
      </c>
      <c r="N187" s="308">
        <f>-VLOOKUP(A187,Paramètres!$B$23:$C$322,2,FALSE)*$N$5</f>
        <v>0</v>
      </c>
      <c r="O187" s="322"/>
      <c r="P187" s="602">
        <f t="shared" si="13"/>
        <v>615237.95613639138</v>
      </c>
      <c r="Q187" s="603"/>
      <c r="R187" s="603"/>
      <c r="S187" s="604"/>
      <c r="T187" s="308">
        <f>PCS!D187</f>
        <v>1238450.2637134269</v>
      </c>
      <c r="U187" s="303">
        <f>Police!U187</f>
        <v>191073.898687493</v>
      </c>
      <c r="V187" s="336">
        <f t="shared" si="14"/>
        <v>2044762.1185373114</v>
      </c>
      <c r="W187" s="180"/>
      <c r="X187" s="180"/>
      <c r="Y187" s="180"/>
      <c r="Z187" s="15"/>
    </row>
    <row r="188" spans="1:26" x14ac:dyDescent="0.25">
      <c r="A188" s="111">
        <f>Données!A188</f>
        <v>5715</v>
      </c>
      <c r="B188" s="119" t="str">
        <f>Données!B188</f>
        <v>Duillier</v>
      </c>
      <c r="C188" s="307">
        <f>Ressources!H188</f>
        <v>1288349.0854502365</v>
      </c>
      <c r="D188" s="307">
        <f>Ressources!L188</f>
        <v>0</v>
      </c>
      <c r="E188" s="335">
        <f>Ressources!T188</f>
        <v>164098.95222786639</v>
      </c>
      <c r="F188" s="308">
        <f t="shared" si="10"/>
        <v>1452448.037678103</v>
      </c>
      <c r="G188" s="307">
        <f>'Besoins structurels'!I188</f>
        <v>0</v>
      </c>
      <c r="H188" s="307">
        <f>'Besoins structurels'!N188</f>
        <v>0</v>
      </c>
      <c r="I188" s="307">
        <f>'Besoins structurels'!V188</f>
        <v>0</v>
      </c>
      <c r="J188" s="309">
        <f t="shared" si="11"/>
        <v>0</v>
      </c>
      <c r="K188" s="307">
        <f>'Charges des villes'!N188</f>
        <v>491243.04558821174</v>
      </c>
      <c r="L188" s="307">
        <f>'Charges des villes'!U188</f>
        <v>113295.53870303523</v>
      </c>
      <c r="M188" s="302">
        <f t="shared" si="12"/>
        <v>604538.58429124695</v>
      </c>
      <c r="N188" s="308">
        <f>-VLOOKUP(A188,Paramètres!$B$23:$C$322,2,FALSE)*$N$5</f>
        <v>0</v>
      </c>
      <c r="O188" s="322"/>
      <c r="P188" s="602">
        <f t="shared" si="13"/>
        <v>2056986.6219693499</v>
      </c>
      <c r="Q188" s="603"/>
      <c r="R188" s="603"/>
      <c r="S188" s="604"/>
      <c r="T188" s="308">
        <f>PCS!D188</f>
        <v>1090459.3516973569</v>
      </c>
      <c r="U188" s="303">
        <f>Police!U188</f>
        <v>165313.59314130154</v>
      </c>
      <c r="V188" s="336">
        <f t="shared" si="14"/>
        <v>3312759.5668080086</v>
      </c>
      <c r="W188" s="180"/>
      <c r="X188" s="180"/>
      <c r="Y188" s="180"/>
      <c r="Z188" s="15"/>
    </row>
    <row r="189" spans="1:26" x14ac:dyDescent="0.25">
      <c r="A189" s="111">
        <f>Données!A189</f>
        <v>5716</v>
      </c>
      <c r="B189" s="119" t="str">
        <f>Données!B189</f>
        <v>Eysins</v>
      </c>
      <c r="C189" s="307">
        <f>Ressources!H189</f>
        <v>21253455.527493689</v>
      </c>
      <c r="D189" s="307">
        <f>Ressources!L189</f>
        <v>0</v>
      </c>
      <c r="E189" s="335">
        <f>Ressources!T189</f>
        <v>-92029.713388691074</v>
      </c>
      <c r="F189" s="308">
        <f t="shared" si="10"/>
        <v>21161425.814104997</v>
      </c>
      <c r="G189" s="307">
        <f>'Besoins structurels'!I189</f>
        <v>0</v>
      </c>
      <c r="H189" s="307">
        <f>'Besoins structurels'!N189</f>
        <v>0</v>
      </c>
      <c r="I189" s="307">
        <f>'Besoins structurels'!V189</f>
        <v>0</v>
      </c>
      <c r="J189" s="309">
        <f t="shared" si="11"/>
        <v>0</v>
      </c>
      <c r="K189" s="307">
        <f>'Charges des villes'!N189</f>
        <v>646305.95438693487</v>
      </c>
      <c r="L189" s="307">
        <f>'Charges des villes'!U189</f>
        <v>183194.83981356857</v>
      </c>
      <c r="M189" s="302">
        <f t="shared" si="12"/>
        <v>829500.7942005035</v>
      </c>
      <c r="N189" s="308">
        <f>-VLOOKUP(A189,Paramètres!$B$23:$C$322,2,FALSE)*$N$5</f>
        <v>0</v>
      </c>
      <c r="O189" s="322"/>
      <c r="P189" s="602">
        <f t="shared" si="13"/>
        <v>21990926.608305499</v>
      </c>
      <c r="Q189" s="603"/>
      <c r="R189" s="603"/>
      <c r="S189" s="604"/>
      <c r="T189" s="308">
        <f>PCS!D189</f>
        <v>1763233.8267177797</v>
      </c>
      <c r="U189" s="303">
        <f>Police!U189</f>
        <v>282421.29795984307</v>
      </c>
      <c r="V189" s="336">
        <f t="shared" si="14"/>
        <v>24036581.73298312</v>
      </c>
      <c r="W189" s="180"/>
      <c r="X189" s="180"/>
      <c r="Y189" s="180"/>
      <c r="Z189" s="15"/>
    </row>
    <row r="190" spans="1:26" x14ac:dyDescent="0.25">
      <c r="A190" s="111">
        <f>Données!A190</f>
        <v>5717</v>
      </c>
      <c r="B190" s="119" t="str">
        <f>Données!B190</f>
        <v>Founex</v>
      </c>
      <c r="C190" s="307">
        <f>Ressources!H190</f>
        <v>12079194.648413783</v>
      </c>
      <c r="D190" s="307">
        <f>Ressources!L190</f>
        <v>0</v>
      </c>
      <c r="E190" s="335">
        <f>Ressources!T190</f>
        <v>932104.07403172913</v>
      </c>
      <c r="F190" s="308">
        <f t="shared" si="10"/>
        <v>13011298.722445512</v>
      </c>
      <c r="G190" s="307">
        <f>'Besoins structurels'!I190</f>
        <v>0</v>
      </c>
      <c r="H190" s="307">
        <f>'Besoins structurels'!N190</f>
        <v>0</v>
      </c>
      <c r="I190" s="307">
        <f>'Besoins structurels'!V190</f>
        <v>0</v>
      </c>
      <c r="J190" s="309">
        <f t="shared" si="11"/>
        <v>0</v>
      </c>
      <c r="K190" s="307">
        <f>'Charges des villes'!N190</f>
        <v>862400.86833946384</v>
      </c>
      <c r="L190" s="307">
        <f>'Charges des villes'!U190</f>
        <v>378022.70369039522</v>
      </c>
      <c r="M190" s="302">
        <f t="shared" si="12"/>
        <v>1240423.5720298591</v>
      </c>
      <c r="N190" s="308">
        <f>-VLOOKUP(A190,Paramètres!$B$23:$C$322,2,FALSE)*$N$5</f>
        <v>0</v>
      </c>
      <c r="O190" s="322"/>
      <c r="P190" s="602">
        <f t="shared" si="13"/>
        <v>14251722.294475371</v>
      </c>
      <c r="Q190" s="603"/>
      <c r="R190" s="603"/>
      <c r="S190" s="604"/>
      <c r="T190" s="308">
        <f>PCS!D190</f>
        <v>3638434.4618687704</v>
      </c>
      <c r="U190" s="303">
        <f>Police!U190</f>
        <v>617859.43485430581</v>
      </c>
      <c r="V190" s="336">
        <f t="shared" si="14"/>
        <v>18508016.191198446</v>
      </c>
      <c r="W190" s="180"/>
      <c r="X190" s="180"/>
      <c r="Y190" s="180"/>
      <c r="Z190" s="15"/>
    </row>
    <row r="191" spans="1:26" x14ac:dyDescent="0.25">
      <c r="A191" s="111">
        <f>Données!A191</f>
        <v>5718</v>
      </c>
      <c r="B191" s="119" t="str">
        <f>Données!B191</f>
        <v>Genolier</v>
      </c>
      <c r="C191" s="307">
        <f>Ressources!H191</f>
        <v>6035604.7270290889</v>
      </c>
      <c r="D191" s="307">
        <f>Ressources!L191</f>
        <v>0</v>
      </c>
      <c r="E191" s="335">
        <f>Ressources!T191</f>
        <v>654557.23909277795</v>
      </c>
      <c r="F191" s="308">
        <f t="shared" si="10"/>
        <v>6690161.9661218673</v>
      </c>
      <c r="G191" s="307">
        <f>'Besoins structurels'!I191</f>
        <v>0</v>
      </c>
      <c r="H191" s="307">
        <f>'Besoins structurels'!N191</f>
        <v>0</v>
      </c>
      <c r="I191" s="307">
        <f>'Besoins structurels'!V191</f>
        <v>0</v>
      </c>
      <c r="J191" s="309">
        <f t="shared" si="11"/>
        <v>0</v>
      </c>
      <c r="K191" s="307">
        <f>'Charges des villes'!N191</f>
        <v>704650.89836329967</v>
      </c>
      <c r="L191" s="307">
        <f>'Charges des villes'!U191</f>
        <v>209495.58986963032</v>
      </c>
      <c r="M191" s="302">
        <f t="shared" si="12"/>
        <v>914146.48823292996</v>
      </c>
      <c r="N191" s="308">
        <f>-VLOOKUP(A191,Paramètres!$B$23:$C$322,2,FALSE)*$N$5</f>
        <v>0</v>
      </c>
      <c r="O191" s="322"/>
      <c r="P191" s="602">
        <f t="shared" si="13"/>
        <v>7604308.4543547975</v>
      </c>
      <c r="Q191" s="603"/>
      <c r="R191" s="603"/>
      <c r="S191" s="604"/>
      <c r="T191" s="308">
        <f>PCS!D191</f>
        <v>2016376.1762189518</v>
      </c>
      <c r="U191" s="303">
        <f>Police!U191</f>
        <v>326484.9784993811</v>
      </c>
      <c r="V191" s="336">
        <f t="shared" si="14"/>
        <v>9947169.6090731304</v>
      </c>
      <c r="W191" s="180"/>
      <c r="X191" s="180"/>
      <c r="Y191" s="180"/>
      <c r="Z191" s="15"/>
    </row>
    <row r="192" spans="1:26" x14ac:dyDescent="0.25">
      <c r="A192" s="111">
        <f>Données!A192</f>
        <v>5719</v>
      </c>
      <c r="B192" s="119" t="str">
        <f>Données!B192</f>
        <v>Gingins</v>
      </c>
      <c r="C192" s="307">
        <f>Ressources!H192</f>
        <v>5359843.1541783586</v>
      </c>
      <c r="D192" s="307">
        <f>Ressources!L192</f>
        <v>0</v>
      </c>
      <c r="E192" s="335">
        <f>Ressources!T192</f>
        <v>-100802.11479037307</v>
      </c>
      <c r="F192" s="308">
        <f t="shared" si="10"/>
        <v>5259041.0393879851</v>
      </c>
      <c r="G192" s="307">
        <f>'Besoins structurels'!I192</f>
        <v>-32005</v>
      </c>
      <c r="H192" s="307">
        <f>'Besoins structurels'!N192</f>
        <v>-374</v>
      </c>
      <c r="I192" s="307">
        <f>'Besoins structurels'!V192</f>
        <v>0</v>
      </c>
      <c r="J192" s="309">
        <f t="shared" si="11"/>
        <v>-32379</v>
      </c>
      <c r="K192" s="307">
        <f>'Charges des villes'!N192</f>
        <v>518395.88490028912</v>
      </c>
      <c r="L192" s="307">
        <f>'Charges des villes'!U192</f>
        <v>125535.50315220244</v>
      </c>
      <c r="M192" s="302">
        <f t="shared" si="12"/>
        <v>643931.38805249159</v>
      </c>
      <c r="N192" s="308">
        <f>-VLOOKUP(A192,Paramètres!$B$23:$C$322,2,FALSE)*$N$5</f>
        <v>0</v>
      </c>
      <c r="O192" s="322"/>
      <c r="P192" s="602">
        <f t="shared" si="13"/>
        <v>5870593.4274404766</v>
      </c>
      <c r="Q192" s="603"/>
      <c r="R192" s="603"/>
      <c r="S192" s="604"/>
      <c r="T192" s="308">
        <f>PCS!D192</f>
        <v>1208267.9066575179</v>
      </c>
      <c r="U192" s="303">
        <f>Police!U192</f>
        <v>185820.15216162504</v>
      </c>
      <c r="V192" s="336">
        <f t="shared" si="14"/>
        <v>7264681.4862596197</v>
      </c>
      <c r="W192" s="180"/>
      <c r="X192" s="180"/>
      <c r="Y192" s="180"/>
      <c r="Z192" s="15"/>
    </row>
    <row r="193" spans="1:26" x14ac:dyDescent="0.25">
      <c r="A193" s="111">
        <f>Données!A193</f>
        <v>5720</v>
      </c>
      <c r="B193" s="119" t="str">
        <f>Données!B193</f>
        <v>Givrins</v>
      </c>
      <c r="C193" s="307">
        <f>Ressources!H193</f>
        <v>1074469.6926735223</v>
      </c>
      <c r="D193" s="307">
        <f>Ressources!L193</f>
        <v>0</v>
      </c>
      <c r="E193" s="335">
        <f>Ressources!T193</f>
        <v>-105138.3364627308</v>
      </c>
      <c r="F193" s="308">
        <f t="shared" si="10"/>
        <v>969331.35621079151</v>
      </c>
      <c r="G193" s="307">
        <f>'Besoins structurels'!I193</f>
        <v>0</v>
      </c>
      <c r="H193" s="307">
        <f>'Besoins structurels'!N193</f>
        <v>0</v>
      </c>
      <c r="I193" s="307">
        <f>'Besoins structurels'!V193</f>
        <v>0</v>
      </c>
      <c r="J193" s="309">
        <f t="shared" si="11"/>
        <v>0</v>
      </c>
      <c r="K193" s="307">
        <f>'Charges des villes'!N193</f>
        <v>485857.35845193185</v>
      </c>
      <c r="L193" s="307">
        <f>'Charges des villes'!U193</f>
        <v>110867.77715939876</v>
      </c>
      <c r="M193" s="302">
        <f t="shared" si="12"/>
        <v>596725.13561133062</v>
      </c>
      <c r="N193" s="308">
        <f>-VLOOKUP(A193,Paramètres!$B$23:$C$322,2,FALSE)*$N$5</f>
        <v>0</v>
      </c>
      <c r="O193" s="322"/>
      <c r="P193" s="602">
        <f t="shared" si="13"/>
        <v>1566056.4918221221</v>
      </c>
      <c r="Q193" s="603"/>
      <c r="R193" s="603"/>
      <c r="S193" s="604"/>
      <c r="T193" s="308">
        <f>PCS!D193</f>
        <v>1067092.3655895563</v>
      </c>
      <c r="U193" s="303">
        <f>Police!U193</f>
        <v>161246.17647611341</v>
      </c>
      <c r="V193" s="336">
        <f t="shared" si="14"/>
        <v>2794395.0338877919</v>
      </c>
      <c r="W193" s="180"/>
      <c r="X193" s="180"/>
      <c r="Y193" s="180"/>
      <c r="Z193" s="15"/>
    </row>
    <row r="194" spans="1:26" x14ac:dyDescent="0.25">
      <c r="A194" s="111">
        <f>Données!A194</f>
        <v>5721</v>
      </c>
      <c r="B194" s="119" t="str">
        <f>Données!B194</f>
        <v>Gland</v>
      </c>
      <c r="C194" s="307">
        <f>Ressources!H194</f>
        <v>4825710.8218927924</v>
      </c>
      <c r="D194" s="307">
        <f>Ressources!L194</f>
        <v>0</v>
      </c>
      <c r="E194" s="335">
        <f>Ressources!T194</f>
        <v>-638049.236784718</v>
      </c>
      <c r="F194" s="308">
        <f t="shared" si="10"/>
        <v>4187661.5851080744</v>
      </c>
      <c r="G194" s="307">
        <f>'Besoins structurels'!I194</f>
        <v>0</v>
      </c>
      <c r="H194" s="307">
        <f>'Besoins structurels'!N194</f>
        <v>0</v>
      </c>
      <c r="I194" s="307">
        <f>'Besoins structurels'!V194</f>
        <v>0</v>
      </c>
      <c r="J194" s="309">
        <f t="shared" si="11"/>
        <v>0</v>
      </c>
      <c r="K194" s="307">
        <f>'Charges des villes'!N194</f>
        <v>-633300.49152573757</v>
      </c>
      <c r="L194" s="307">
        <f>'Charges des villes'!U194</f>
        <v>1104619.0757062736</v>
      </c>
      <c r="M194" s="302">
        <f t="shared" si="12"/>
        <v>471318.58418053598</v>
      </c>
      <c r="N194" s="308">
        <f>-VLOOKUP(A194,Paramètres!$B$23:$C$322,2,FALSE)*$N$5</f>
        <v>0</v>
      </c>
      <c r="O194" s="322"/>
      <c r="P194" s="602">
        <f t="shared" si="13"/>
        <v>4658980.1692886101</v>
      </c>
      <c r="Q194" s="603"/>
      <c r="R194" s="603"/>
      <c r="S194" s="604"/>
      <c r="T194" s="308">
        <f>PCS!D194</f>
        <v>13609322.158951478</v>
      </c>
      <c r="U194" s="303">
        <f>Police!U194</f>
        <v>2637344.3222046038</v>
      </c>
      <c r="V194" s="336">
        <f t="shared" si="14"/>
        <v>20905646.650444694</v>
      </c>
      <c r="W194" s="180"/>
      <c r="X194" s="180"/>
      <c r="Y194" s="180"/>
      <c r="Z194" s="15"/>
    </row>
    <row r="195" spans="1:26" x14ac:dyDescent="0.25">
      <c r="A195" s="111">
        <f>Données!A195</f>
        <v>5722</v>
      </c>
      <c r="B195" s="119" t="str">
        <f>Données!B195</f>
        <v>Grens</v>
      </c>
      <c r="C195" s="307">
        <f>Ressources!H195</f>
        <v>245509.20434512847</v>
      </c>
      <c r="D195" s="307">
        <f>Ressources!L195</f>
        <v>0</v>
      </c>
      <c r="E195" s="335">
        <f>Ressources!T195</f>
        <v>360392.24538402568</v>
      </c>
      <c r="F195" s="308">
        <f t="shared" si="10"/>
        <v>605901.44972915412</v>
      </c>
      <c r="G195" s="307">
        <f>'Besoins structurels'!I195</f>
        <v>0</v>
      </c>
      <c r="H195" s="307">
        <f>'Besoins structurels'!N195</f>
        <v>0</v>
      </c>
      <c r="I195" s="307">
        <f>'Besoins structurels'!V195</f>
        <v>0</v>
      </c>
      <c r="J195" s="309">
        <f t="shared" si="11"/>
        <v>0</v>
      </c>
      <c r="K195" s="307">
        <f>'Charges des villes'!N195</f>
        <v>191761.93389151356</v>
      </c>
      <c r="L195" s="307">
        <f>'Charges des villes'!U195</f>
        <v>41777.72989674424</v>
      </c>
      <c r="M195" s="302">
        <f t="shared" si="12"/>
        <v>233539.66378825781</v>
      </c>
      <c r="N195" s="308">
        <f>-VLOOKUP(A195,Paramètres!$B$23:$C$322,2,FALSE)*$N$5</f>
        <v>0</v>
      </c>
      <c r="O195" s="322"/>
      <c r="P195" s="602">
        <f t="shared" si="13"/>
        <v>839441.11351741198</v>
      </c>
      <c r="Q195" s="603"/>
      <c r="R195" s="603"/>
      <c r="S195" s="604"/>
      <c r="T195" s="308">
        <f>PCS!D195</f>
        <v>402106.88593840034</v>
      </c>
      <c r="U195" s="303">
        <f>Police!U195</f>
        <v>59875.298553744055</v>
      </c>
      <c r="V195" s="336">
        <f t="shared" si="14"/>
        <v>1301423.2980095565</v>
      </c>
      <c r="W195" s="180"/>
      <c r="X195" s="180"/>
      <c r="Y195" s="180"/>
      <c r="Z195" s="15"/>
    </row>
    <row r="196" spans="1:26" x14ac:dyDescent="0.25">
      <c r="A196" s="111">
        <f>Données!A196</f>
        <v>5723</v>
      </c>
      <c r="B196" s="119" t="str">
        <f>Données!B196</f>
        <v>Mies</v>
      </c>
      <c r="C196" s="307">
        <f>Ressources!H196</f>
        <v>10011213.932850959</v>
      </c>
      <c r="D196" s="307">
        <f>Ressources!L196</f>
        <v>0</v>
      </c>
      <c r="E196" s="335">
        <f>Ressources!T196</f>
        <v>492703.21113208821</v>
      </c>
      <c r="F196" s="308">
        <f t="shared" si="10"/>
        <v>10503917.143983047</v>
      </c>
      <c r="G196" s="307">
        <f>'Besoins structurels'!I196</f>
        <v>0</v>
      </c>
      <c r="H196" s="307">
        <f>'Besoins structurels'!N196</f>
        <v>0</v>
      </c>
      <c r="I196" s="307">
        <f>'Besoins structurels'!V196</f>
        <v>0</v>
      </c>
      <c r="J196" s="309">
        <f t="shared" si="11"/>
        <v>0</v>
      </c>
      <c r="K196" s="307">
        <f>'Charges des villes'!N196</f>
        <v>732252.54493673367</v>
      </c>
      <c r="L196" s="307">
        <f>'Charges des villes'!U196</f>
        <v>221937.86778076724</v>
      </c>
      <c r="M196" s="302">
        <f t="shared" si="12"/>
        <v>954190.41271750093</v>
      </c>
      <c r="N196" s="308">
        <f>-VLOOKUP(A196,Paramètres!$B$23:$C$322,2,FALSE)*$N$5</f>
        <v>0</v>
      </c>
      <c r="O196" s="322"/>
      <c r="P196" s="602">
        <f t="shared" si="13"/>
        <v>11458107.556700548</v>
      </c>
      <c r="Q196" s="603"/>
      <c r="R196" s="603"/>
      <c r="S196" s="604"/>
      <c r="T196" s="308">
        <f>PCS!D196</f>
        <v>2136131.9800214297</v>
      </c>
      <c r="U196" s="303">
        <f>Police!U196</f>
        <v>347330.4889084702</v>
      </c>
      <c r="V196" s="336">
        <f t="shared" si="14"/>
        <v>13941570.025630448</v>
      </c>
      <c r="W196" s="180"/>
      <c r="X196" s="180"/>
      <c r="Y196" s="180"/>
      <c r="Z196" s="15"/>
    </row>
    <row r="197" spans="1:26" x14ac:dyDescent="0.25">
      <c r="A197" s="111">
        <f>Données!A197</f>
        <v>5724</v>
      </c>
      <c r="B197" s="119" t="str">
        <f>Données!B197</f>
        <v>Nyon</v>
      </c>
      <c r="C197" s="307">
        <f>Ressources!H197</f>
        <v>28898711.663138624</v>
      </c>
      <c r="D197" s="307">
        <f>Ressources!L197</f>
        <v>0</v>
      </c>
      <c r="E197" s="335">
        <f>Ressources!T197</f>
        <v>756655.39688546769</v>
      </c>
      <c r="F197" s="308">
        <f t="shared" si="10"/>
        <v>29655367.06002409</v>
      </c>
      <c r="G197" s="307">
        <f>'Besoins structurels'!I197</f>
        <v>0</v>
      </c>
      <c r="H197" s="307">
        <f>'Besoins structurels'!N197</f>
        <v>0</v>
      </c>
      <c r="I197" s="307">
        <f>'Besoins structurels'!V197</f>
        <v>0</v>
      </c>
      <c r="J197" s="309">
        <f t="shared" si="11"/>
        <v>0</v>
      </c>
      <c r="K197" s="307">
        <f>'Charges des villes'!N197</f>
        <v>-5670266.2909457292</v>
      </c>
      <c r="L197" s="307">
        <f>'Charges des villes'!U197</f>
        <v>266119.13973252894</v>
      </c>
      <c r="M197" s="302">
        <f t="shared" si="12"/>
        <v>-5404147.1512132008</v>
      </c>
      <c r="N197" s="308">
        <f>-VLOOKUP(A197,Paramètres!$B$23:$C$322,2,FALSE)*$N$5</f>
        <v>0</v>
      </c>
      <c r="O197" s="322"/>
      <c r="P197" s="602">
        <f t="shared" si="13"/>
        <v>24251219.908810891</v>
      </c>
      <c r="Q197" s="603"/>
      <c r="R197" s="603"/>
      <c r="S197" s="604"/>
      <c r="T197" s="308">
        <f>PCS!D197</f>
        <v>23106054.762930065</v>
      </c>
      <c r="U197" s="303">
        <f>Police!U197</f>
        <v>713817.38915700291</v>
      </c>
      <c r="V197" s="336">
        <f t="shared" si="14"/>
        <v>48071092.060897961</v>
      </c>
      <c r="W197" s="180"/>
      <c r="X197" s="180"/>
      <c r="Y197" s="180"/>
      <c r="Z197" s="15"/>
    </row>
    <row r="198" spans="1:26" x14ac:dyDescent="0.25">
      <c r="A198" s="111">
        <f>Données!A198</f>
        <v>5725</v>
      </c>
      <c r="B198" s="119" t="str">
        <f>Données!B198</f>
        <v>Prangins</v>
      </c>
      <c r="C198" s="307">
        <f>Ressources!H198</f>
        <v>7779137.4036126481</v>
      </c>
      <c r="D198" s="307">
        <f>Ressources!L198</f>
        <v>0</v>
      </c>
      <c r="E198" s="335">
        <f>Ressources!T198</f>
        <v>507681.88559181849</v>
      </c>
      <c r="F198" s="308">
        <f t="shared" si="10"/>
        <v>8286819.2892044671</v>
      </c>
      <c r="G198" s="307">
        <f>'Besoins structurels'!I198</f>
        <v>0</v>
      </c>
      <c r="H198" s="307">
        <f>'Besoins structurels'!N198</f>
        <v>0</v>
      </c>
      <c r="I198" s="307">
        <f>'Besoins structurels'!V198</f>
        <v>0</v>
      </c>
      <c r="J198" s="309">
        <f t="shared" si="11"/>
        <v>0</v>
      </c>
      <c r="K198" s="307">
        <f>'Charges des villes'!N198</f>
        <v>827577.49319761246</v>
      </c>
      <c r="L198" s="307">
        <f>'Charges des villes'!U198</f>
        <v>-120684.19043126918</v>
      </c>
      <c r="M198" s="302">
        <f t="shared" si="12"/>
        <v>706893.30276634335</v>
      </c>
      <c r="N198" s="308">
        <f>-VLOOKUP(A198,Paramètres!$B$23:$C$322,2,FALSE)*$N$5</f>
        <v>0</v>
      </c>
      <c r="O198" s="322"/>
      <c r="P198" s="602">
        <f t="shared" si="13"/>
        <v>8993712.5919708107</v>
      </c>
      <c r="Q198" s="603"/>
      <c r="R198" s="603"/>
      <c r="S198" s="604"/>
      <c r="T198" s="308">
        <f>PCS!D198</f>
        <v>4131088.4189748978</v>
      </c>
      <c r="U198" s="303">
        <f>Police!U198</f>
        <v>127622.07914179855</v>
      </c>
      <c r="V198" s="336">
        <f t="shared" si="14"/>
        <v>13252423.090087507</v>
      </c>
      <c r="W198" s="180"/>
      <c r="X198" s="180"/>
      <c r="Y198" s="180"/>
      <c r="Z198" s="15"/>
    </row>
    <row r="199" spans="1:26" x14ac:dyDescent="0.25">
      <c r="A199" s="111">
        <f>Données!A199</f>
        <v>5726</v>
      </c>
      <c r="B199" s="119" t="str">
        <f>Données!B199</f>
        <v>La Rippe</v>
      </c>
      <c r="C199" s="307">
        <f>Ressources!H199</f>
        <v>729518.64927713748</v>
      </c>
      <c r="D199" s="307">
        <f>Ressources!L199</f>
        <v>0</v>
      </c>
      <c r="E199" s="335">
        <f>Ressources!T199</f>
        <v>-130052.71395219539</v>
      </c>
      <c r="F199" s="308">
        <f t="shared" si="10"/>
        <v>599465.93532494211</v>
      </c>
      <c r="G199" s="307">
        <f>'Besoins structurels'!I199</f>
        <v>-76211</v>
      </c>
      <c r="H199" s="307">
        <f>'Besoins structurels'!N199</f>
        <v>0</v>
      </c>
      <c r="I199" s="307">
        <f>'Besoins structurels'!V199</f>
        <v>0</v>
      </c>
      <c r="J199" s="309">
        <f t="shared" si="11"/>
        <v>-76211</v>
      </c>
      <c r="K199" s="307">
        <f>'Charges des villes'!N199</f>
        <v>513234.6013946876</v>
      </c>
      <c r="L199" s="307">
        <f>'Charges des villes'!U199</f>
        <v>123208.89833955081</v>
      </c>
      <c r="M199" s="302">
        <f t="shared" si="12"/>
        <v>636443.49973423837</v>
      </c>
      <c r="N199" s="308">
        <f>-VLOOKUP(A199,Paramètres!$B$23:$C$322,2,FALSE)*$N$5</f>
        <v>0</v>
      </c>
      <c r="O199" s="322"/>
      <c r="P199" s="602">
        <f t="shared" si="13"/>
        <v>1159698.4350591805</v>
      </c>
      <c r="Q199" s="603"/>
      <c r="R199" s="603"/>
      <c r="S199" s="604"/>
      <c r="T199" s="308">
        <f>PCS!D199</f>
        <v>1185874.5449708756</v>
      </c>
      <c r="U199" s="303">
        <f>Police!U199</f>
        <v>181922.21119081974</v>
      </c>
      <c r="V199" s="336">
        <f t="shared" si="14"/>
        <v>2527495.1912208758</v>
      </c>
      <c r="W199" s="180"/>
      <c r="X199" s="180"/>
      <c r="Y199" s="180"/>
      <c r="Z199" s="15"/>
    </row>
    <row r="200" spans="1:26" x14ac:dyDescent="0.25">
      <c r="A200" s="111">
        <f>Données!A200</f>
        <v>5727</v>
      </c>
      <c r="B200" s="119" t="str">
        <f>Données!B200</f>
        <v>Saint-Cergue</v>
      </c>
      <c r="C200" s="307">
        <f>Ressources!H200</f>
        <v>-3136438.2658873196</v>
      </c>
      <c r="D200" s="307">
        <f>Ressources!L200</f>
        <v>0</v>
      </c>
      <c r="E200" s="335">
        <f>Ressources!T200</f>
        <v>-315997.25053518981</v>
      </c>
      <c r="F200" s="308">
        <f t="shared" si="10"/>
        <v>-3452435.5164225092</v>
      </c>
      <c r="G200" s="307">
        <f>'Besoins structurels'!I200</f>
        <v>-8070</v>
      </c>
      <c r="H200" s="307">
        <f>'Besoins structurels'!N200</f>
        <v>-484049</v>
      </c>
      <c r="I200" s="307">
        <f>'Besoins structurels'!V200</f>
        <v>0</v>
      </c>
      <c r="J200" s="309">
        <f t="shared" si="11"/>
        <v>-492119</v>
      </c>
      <c r="K200" s="307">
        <f>'Charges des villes'!N200</f>
        <v>909199.07999254437</v>
      </c>
      <c r="L200" s="307">
        <f>'Charges des villes'!U200</f>
        <v>309236.12662069529</v>
      </c>
      <c r="M200" s="302">
        <f t="shared" si="12"/>
        <v>1218435.2066132396</v>
      </c>
      <c r="N200" s="308">
        <f>-VLOOKUP(A200,Paramètres!$B$23:$C$322,2,FALSE)*$N$5</f>
        <v>0</v>
      </c>
      <c r="O200" s="322"/>
      <c r="P200" s="602">
        <f t="shared" si="13"/>
        <v>-2726119.3098092694</v>
      </c>
      <c r="Q200" s="603"/>
      <c r="R200" s="603"/>
      <c r="S200" s="604"/>
      <c r="T200" s="308">
        <f>PCS!D200</f>
        <v>2976369.8554810896</v>
      </c>
      <c r="U200" s="303">
        <f>Police!U200</f>
        <v>494286.23992103303</v>
      </c>
      <c r="V200" s="336">
        <f t="shared" si="14"/>
        <v>744536.78559285321</v>
      </c>
      <c r="W200" s="180"/>
      <c r="X200" s="180"/>
      <c r="Y200" s="180"/>
      <c r="Z200" s="15"/>
    </row>
    <row r="201" spans="1:26" x14ac:dyDescent="0.25">
      <c r="A201" s="111">
        <f>Données!A201</f>
        <v>5728</v>
      </c>
      <c r="B201" s="119" t="str">
        <f>Données!B201</f>
        <v>Signy-Avenex</v>
      </c>
      <c r="C201" s="307">
        <f>Ressources!H201</f>
        <v>979687.89145316463</v>
      </c>
      <c r="D201" s="307">
        <f>Ressources!L201</f>
        <v>0</v>
      </c>
      <c r="E201" s="335">
        <f>Ressources!T201</f>
        <v>191054.18386208007</v>
      </c>
      <c r="F201" s="308">
        <f t="shared" ref="F201:F264" si="15">SUM(C201:E201)</f>
        <v>1170742.0753152447</v>
      </c>
      <c r="G201" s="307">
        <f>'Besoins structurels'!I201</f>
        <v>0</v>
      </c>
      <c r="H201" s="307">
        <f>'Besoins structurels'!N201</f>
        <v>0</v>
      </c>
      <c r="I201" s="307">
        <f>'Besoins structurels'!V201</f>
        <v>0</v>
      </c>
      <c r="J201" s="309">
        <f t="shared" ref="J201:J264" si="16">SUM(G201:I201)</f>
        <v>0</v>
      </c>
      <c r="K201" s="307">
        <f>'Charges des villes'!N201</f>
        <v>272088.36140539218</v>
      </c>
      <c r="L201" s="307">
        <f>'Charges des villes'!U201</f>
        <v>59277.844357123788</v>
      </c>
      <c r="M201" s="302">
        <f t="shared" ref="M201:M264" si="17">SUM(K201:L201)</f>
        <v>331366.20576251595</v>
      </c>
      <c r="N201" s="308">
        <f>-VLOOKUP(A201,Paramètres!$B$23:$C$322,2,FALSE)*$N$5</f>
        <v>0</v>
      </c>
      <c r="O201" s="322"/>
      <c r="P201" s="602">
        <f t="shared" ref="P201:P264" si="18">F201+J201+M201+N201</f>
        <v>1502108.2810777607</v>
      </c>
      <c r="Q201" s="603"/>
      <c r="R201" s="603"/>
      <c r="S201" s="604"/>
      <c r="T201" s="308">
        <f>PCS!D201</f>
        <v>570543.91079879564</v>
      </c>
      <c r="U201" s="303">
        <f>Police!U201</f>
        <v>84956.234751801501</v>
      </c>
      <c r="V201" s="336">
        <f t="shared" ref="V201:V264" si="19">P201+T201+U201</f>
        <v>2157608.4266283577</v>
      </c>
      <c r="W201" s="180"/>
      <c r="X201" s="180"/>
      <c r="Y201" s="180"/>
      <c r="Z201" s="15"/>
    </row>
    <row r="202" spans="1:26" x14ac:dyDescent="0.25">
      <c r="A202" s="111">
        <f>Données!A202</f>
        <v>5729</v>
      </c>
      <c r="B202" s="119" t="str">
        <f>Données!B202</f>
        <v>Tannay</v>
      </c>
      <c r="C202" s="307">
        <f>Ressources!H202</f>
        <v>5125317.5689376611</v>
      </c>
      <c r="D202" s="307">
        <f>Ressources!L202</f>
        <v>0</v>
      </c>
      <c r="E202" s="335">
        <f>Ressources!T202</f>
        <v>134110.0338380934</v>
      </c>
      <c r="F202" s="308">
        <f t="shared" si="15"/>
        <v>5259427.6027757544</v>
      </c>
      <c r="G202" s="307">
        <f>'Besoins structurels'!I202</f>
        <v>0</v>
      </c>
      <c r="H202" s="307">
        <f>'Besoins structurels'!N202</f>
        <v>0</v>
      </c>
      <c r="I202" s="307">
        <f>'Besoins structurels'!V202</f>
        <v>0</v>
      </c>
      <c r="J202" s="309">
        <f t="shared" si="16"/>
        <v>0</v>
      </c>
      <c r="K202" s="307">
        <f>'Charges des villes'!N202</f>
        <v>628578.06756334717</v>
      </c>
      <c r="L202" s="307">
        <f>'Charges des villes'!U202</f>
        <v>175203.45806576521</v>
      </c>
      <c r="M202" s="302">
        <f t="shared" si="17"/>
        <v>803781.52562911238</v>
      </c>
      <c r="N202" s="308">
        <f>-VLOOKUP(A202,Paramètres!$B$23:$C$322,2,FALSE)*$N$5</f>
        <v>0</v>
      </c>
      <c r="O202" s="322"/>
      <c r="P202" s="602">
        <f t="shared" si="18"/>
        <v>6063209.1284048669</v>
      </c>
      <c r="Q202" s="603"/>
      <c r="R202" s="603"/>
      <c r="S202" s="604"/>
      <c r="T202" s="308">
        <f>PCS!D202</f>
        <v>1686317.4974462697</v>
      </c>
      <c r="U202" s="303">
        <f>Police!U202</f>
        <v>269032.7181035988</v>
      </c>
      <c r="V202" s="336">
        <f t="shared" si="19"/>
        <v>8018559.3439547354</v>
      </c>
      <c r="W202" s="180"/>
      <c r="X202" s="180"/>
      <c r="Y202" s="180"/>
      <c r="Z202" s="15"/>
    </row>
    <row r="203" spans="1:26" x14ac:dyDescent="0.25">
      <c r="A203" s="111">
        <f>Données!A203</f>
        <v>5730</v>
      </c>
      <c r="B203" s="119" t="str">
        <f>Données!B203</f>
        <v>Trélex</v>
      </c>
      <c r="C203" s="307">
        <f>Ressources!H203</f>
        <v>3810254.1625560368</v>
      </c>
      <c r="D203" s="307">
        <f>Ressources!L203</f>
        <v>0</v>
      </c>
      <c r="E203" s="335">
        <f>Ressources!T203</f>
        <v>-41927.237438245327</v>
      </c>
      <c r="F203" s="308">
        <f t="shared" si="15"/>
        <v>3768326.9251177916</v>
      </c>
      <c r="G203" s="307">
        <f>'Besoins structurels'!I203</f>
        <v>0</v>
      </c>
      <c r="H203" s="307">
        <f>'Besoins structurels'!N203</f>
        <v>0</v>
      </c>
      <c r="I203" s="307">
        <f>'Besoins structurels'!V203</f>
        <v>0</v>
      </c>
      <c r="J203" s="309">
        <f t="shared" si="16"/>
        <v>0</v>
      </c>
      <c r="K203" s="307">
        <f>'Charges des villes'!N203</f>
        <v>560134.96020645765</v>
      </c>
      <c r="L203" s="307">
        <f>'Charges des villes'!U203</f>
        <v>144350.65511538507</v>
      </c>
      <c r="M203" s="302">
        <f t="shared" si="17"/>
        <v>704485.61532184272</v>
      </c>
      <c r="N203" s="308">
        <f>-VLOOKUP(A203,Paramètres!$B$23:$C$322,2,FALSE)*$N$5</f>
        <v>-14300</v>
      </c>
      <c r="O203" s="322"/>
      <c r="P203" s="602">
        <f t="shared" si="18"/>
        <v>4458512.5404396346</v>
      </c>
      <c r="Q203" s="603"/>
      <c r="R203" s="603"/>
      <c r="S203" s="604"/>
      <c r="T203" s="308">
        <f>PCS!D203</f>
        <v>1389362.0489929717</v>
      </c>
      <c r="U203" s="303">
        <f>Police!U203</f>
        <v>217342.63131683302</v>
      </c>
      <c r="V203" s="336">
        <f t="shared" si="19"/>
        <v>6065217.2207494397</v>
      </c>
      <c r="W203" s="180"/>
      <c r="X203" s="180"/>
      <c r="Y203" s="180"/>
      <c r="Z203" s="15"/>
    </row>
    <row r="204" spans="1:26" x14ac:dyDescent="0.25">
      <c r="A204" s="111">
        <f>Données!A204</f>
        <v>5731</v>
      </c>
      <c r="B204" s="119" t="str">
        <f>Données!B204</f>
        <v>Le Vaud</v>
      </c>
      <c r="C204" s="307">
        <f>Ressources!H204</f>
        <v>-154766.14186074625</v>
      </c>
      <c r="D204" s="307">
        <f>Ressources!L204</f>
        <v>0</v>
      </c>
      <c r="E204" s="335">
        <f>Ressources!T204</f>
        <v>-123064.86746331395</v>
      </c>
      <c r="F204" s="308">
        <f t="shared" si="15"/>
        <v>-277831.00932406017</v>
      </c>
      <c r="G204" s="307">
        <f>'Besoins structurels'!I204</f>
        <v>0</v>
      </c>
      <c r="H204" s="307">
        <f>'Besoins structurels'!N204</f>
        <v>-108464</v>
      </c>
      <c r="I204" s="307">
        <f>'Besoins structurels'!V204</f>
        <v>0</v>
      </c>
      <c r="J204" s="309">
        <f t="shared" si="16"/>
        <v>-108464</v>
      </c>
      <c r="K204" s="307">
        <f>'Charges des villes'!N204</f>
        <v>548241.56778050645</v>
      </c>
      <c r="L204" s="307">
        <f>'Charges des villes'!U204</f>
        <v>138989.34837318785</v>
      </c>
      <c r="M204" s="302">
        <f t="shared" si="17"/>
        <v>687230.91615369427</v>
      </c>
      <c r="N204" s="308">
        <f>-VLOOKUP(A204,Paramètres!$B$23:$C$322,2,FALSE)*$N$5</f>
        <v>0</v>
      </c>
      <c r="O204" s="322"/>
      <c r="P204" s="602">
        <f t="shared" si="18"/>
        <v>300935.9068296341</v>
      </c>
      <c r="Q204" s="603"/>
      <c r="R204" s="603"/>
      <c r="S204" s="604"/>
      <c r="T204" s="308">
        <f>PCS!D204</f>
        <v>1337759.9546715789</v>
      </c>
      <c r="U204" s="303">
        <f>Police!U204</f>
        <v>208360.41951454256</v>
      </c>
      <c r="V204" s="336">
        <f t="shared" si="19"/>
        <v>1847056.2810157556</v>
      </c>
      <c r="W204" s="180"/>
      <c r="X204" s="180"/>
      <c r="Y204" s="180"/>
      <c r="Z204" s="15"/>
    </row>
    <row r="205" spans="1:26" x14ac:dyDescent="0.25">
      <c r="A205" s="111">
        <f>Données!A205</f>
        <v>5732</v>
      </c>
      <c r="B205" s="119" t="str">
        <f>Données!B205</f>
        <v>Vich</v>
      </c>
      <c r="C205" s="307">
        <f>Ressources!H205</f>
        <v>1824162.4835892883</v>
      </c>
      <c r="D205" s="307">
        <f>Ressources!L205</f>
        <v>0</v>
      </c>
      <c r="E205" s="335">
        <f>Ressources!T205</f>
        <v>-77347.75821829011</v>
      </c>
      <c r="F205" s="308">
        <f t="shared" si="15"/>
        <v>1746814.7253709983</v>
      </c>
      <c r="G205" s="307">
        <f>'Besoins structurels'!I205</f>
        <v>0</v>
      </c>
      <c r="H205" s="307">
        <f>'Besoins structurels'!N205</f>
        <v>0</v>
      </c>
      <c r="I205" s="307">
        <f>'Besoins structurels'!V205</f>
        <v>0</v>
      </c>
      <c r="J205" s="309">
        <f t="shared" si="16"/>
        <v>0</v>
      </c>
      <c r="K205" s="307">
        <f>'Charges des villes'!N205</f>
        <v>503360.84164484136</v>
      </c>
      <c r="L205" s="307">
        <f>'Charges des villes'!U205</f>
        <v>118758.00217621728</v>
      </c>
      <c r="M205" s="302">
        <f t="shared" si="17"/>
        <v>622118.84382105863</v>
      </c>
      <c r="N205" s="308">
        <f>-VLOOKUP(A205,Paramètres!$B$23:$C$322,2,FALSE)*$N$5</f>
        <v>0</v>
      </c>
      <c r="O205" s="322"/>
      <c r="P205" s="602">
        <f t="shared" si="18"/>
        <v>2368933.569192057</v>
      </c>
      <c r="Q205" s="603"/>
      <c r="R205" s="603"/>
      <c r="S205" s="604"/>
      <c r="T205" s="308">
        <f>PCS!D205</f>
        <v>1143035.070439908</v>
      </c>
      <c r="U205" s="303">
        <f>Police!U205</f>
        <v>174465.28063797482</v>
      </c>
      <c r="V205" s="336">
        <f t="shared" si="19"/>
        <v>3686433.92026994</v>
      </c>
      <c r="W205" s="180"/>
      <c r="X205" s="180"/>
      <c r="Y205" s="180"/>
      <c r="Z205" s="15"/>
    </row>
    <row r="206" spans="1:26" x14ac:dyDescent="0.25">
      <c r="A206" s="111">
        <f>Données!A206</f>
        <v>5741</v>
      </c>
      <c r="B206" s="119" t="str">
        <f>Données!B206</f>
        <v>L'Abergement</v>
      </c>
      <c r="C206" s="307">
        <f>Ressources!H206</f>
        <v>-266041.20360229368</v>
      </c>
      <c r="D206" s="307">
        <f>Ressources!L206</f>
        <v>0</v>
      </c>
      <c r="E206" s="335">
        <f>Ressources!T206</f>
        <v>-38124.590817106873</v>
      </c>
      <c r="F206" s="308">
        <f t="shared" si="15"/>
        <v>-304165.79441940057</v>
      </c>
      <c r="G206" s="307">
        <f>'Besoins structurels'!I206</f>
        <v>-40183</v>
      </c>
      <c r="H206" s="307">
        <f>'Besoins structurels'!N206</f>
        <v>-4428</v>
      </c>
      <c r="I206" s="307">
        <f>'Besoins structurels'!V206</f>
        <v>0</v>
      </c>
      <c r="J206" s="309">
        <f t="shared" si="16"/>
        <v>-44611</v>
      </c>
      <c r="K206" s="307">
        <f>'Charges des villes'!N206</f>
        <v>123972.00084511898</v>
      </c>
      <c r="L206" s="307">
        <f>'Charges des villes'!U206</f>
        <v>27008.84717295572</v>
      </c>
      <c r="M206" s="302">
        <f t="shared" si="17"/>
        <v>150980.8480180747</v>
      </c>
      <c r="N206" s="308">
        <f>-VLOOKUP(A206,Paramètres!$B$23:$C$322,2,FALSE)*$N$5</f>
        <v>-15300</v>
      </c>
      <c r="O206" s="322"/>
      <c r="P206" s="602">
        <f t="shared" si="18"/>
        <v>-213095.94640132587</v>
      </c>
      <c r="Q206" s="603"/>
      <c r="R206" s="603"/>
      <c r="S206" s="604"/>
      <c r="T206" s="308">
        <f>PCS!D206</f>
        <v>259957.72044928063</v>
      </c>
      <c r="U206" s="303">
        <f>Police!U206</f>
        <v>38708.728120701358</v>
      </c>
      <c r="V206" s="336">
        <f t="shared" si="19"/>
        <v>85570.502168656123</v>
      </c>
      <c r="W206" s="180"/>
      <c r="X206" s="180"/>
      <c r="Y206" s="180"/>
      <c r="Z206" s="15"/>
    </row>
    <row r="207" spans="1:26" x14ac:dyDescent="0.25">
      <c r="A207" s="111">
        <f>Données!A207</f>
        <v>5742</v>
      </c>
      <c r="B207" s="119" t="str">
        <f>Données!B207</f>
        <v>Agiez</v>
      </c>
      <c r="C207" s="307">
        <f>Ressources!H207</f>
        <v>-433056.45345241582</v>
      </c>
      <c r="D207" s="307">
        <f>Ressources!L207</f>
        <v>0</v>
      </c>
      <c r="E207" s="335">
        <f>Ressources!T207</f>
        <v>-67966.5850079956</v>
      </c>
      <c r="F207" s="308">
        <f t="shared" si="15"/>
        <v>-501023.03846041142</v>
      </c>
      <c r="G207" s="307">
        <f>'Besoins structurels'!I207</f>
        <v>-26756</v>
      </c>
      <c r="H207" s="307">
        <f>'Besoins structurels'!N207</f>
        <v>0</v>
      </c>
      <c r="I207" s="307">
        <f>'Besoins structurels'!V207</f>
        <v>-58103</v>
      </c>
      <c r="J207" s="309">
        <f t="shared" si="16"/>
        <v>-84859</v>
      </c>
      <c r="K207" s="307">
        <f>'Charges des villes'!N207</f>
        <v>177368.1809844024</v>
      </c>
      <c r="L207" s="307">
        <f>'Charges des villes'!U207</f>
        <v>38641.871236213803</v>
      </c>
      <c r="M207" s="302">
        <f t="shared" si="17"/>
        <v>216010.0522206162</v>
      </c>
      <c r="N207" s="308">
        <f>-VLOOKUP(A207,Paramètres!$B$23:$C$322,2,FALSE)*$N$5</f>
        <v>0</v>
      </c>
      <c r="O207" s="322"/>
      <c r="P207" s="602">
        <f t="shared" si="18"/>
        <v>-369871.98623979517</v>
      </c>
      <c r="Q207" s="603"/>
      <c r="R207" s="603"/>
      <c r="S207" s="604"/>
      <c r="T207" s="308">
        <f>PCS!D207</f>
        <v>371924.5288824914</v>
      </c>
      <c r="U207" s="303">
        <f>Police!U207</f>
        <v>55381.02674946787</v>
      </c>
      <c r="V207" s="336">
        <f t="shared" si="19"/>
        <v>57433.569392164107</v>
      </c>
      <c r="W207" s="180"/>
      <c r="X207" s="180"/>
      <c r="Y207" s="180"/>
      <c r="Z207" s="15"/>
    </row>
    <row r="208" spans="1:26" x14ac:dyDescent="0.25">
      <c r="A208" s="111">
        <f>Données!A208</f>
        <v>5743</v>
      </c>
      <c r="B208" s="119" t="str">
        <f>Données!B208</f>
        <v>Arnex-sur-Orbe</v>
      </c>
      <c r="C208" s="307">
        <f>Ressources!H208</f>
        <v>-927021.54041700868</v>
      </c>
      <c r="D208" s="307">
        <f>Ressources!L208</f>
        <v>0</v>
      </c>
      <c r="E208" s="335">
        <f>Ressources!T208</f>
        <v>-153565.19891513331</v>
      </c>
      <c r="F208" s="308">
        <f t="shared" si="15"/>
        <v>-1080586.7393321421</v>
      </c>
      <c r="G208" s="307">
        <f>'Besoins structurels'!I208</f>
        <v>-23706</v>
      </c>
      <c r="H208" s="307">
        <f>'Besoins structurels'!N208</f>
        <v>0</v>
      </c>
      <c r="I208" s="307">
        <f>'Besoins structurels'!V208</f>
        <v>-14650</v>
      </c>
      <c r="J208" s="309">
        <f t="shared" si="16"/>
        <v>-38356</v>
      </c>
      <c r="K208" s="307">
        <f>'Charges des villes'!N208</f>
        <v>324091.59771495516</v>
      </c>
      <c r="L208" s="307">
        <f>'Charges des villes'!U208</f>
        <v>70607.398227427315</v>
      </c>
      <c r="M208" s="302">
        <f t="shared" si="17"/>
        <v>394698.99594238249</v>
      </c>
      <c r="N208" s="308">
        <f>-VLOOKUP(A208,Paramètres!$B$23:$C$322,2,FALSE)*$N$5</f>
        <v>0</v>
      </c>
      <c r="O208" s="322"/>
      <c r="P208" s="602">
        <f t="shared" si="18"/>
        <v>-724243.74338975956</v>
      </c>
      <c r="Q208" s="603"/>
      <c r="R208" s="603"/>
      <c r="S208" s="604"/>
      <c r="T208" s="308">
        <f>PCS!D208</f>
        <v>679589.84596853133</v>
      </c>
      <c r="U208" s="303">
        <f>Police!U208</f>
        <v>101193.60385112192</v>
      </c>
      <c r="V208" s="336">
        <f t="shared" si="19"/>
        <v>56539.706429893689</v>
      </c>
      <c r="W208" s="180"/>
      <c r="X208" s="180"/>
      <c r="Y208" s="180"/>
      <c r="Z208" s="15"/>
    </row>
    <row r="209" spans="1:26" x14ac:dyDescent="0.25">
      <c r="A209" s="111">
        <f>Données!A209</f>
        <v>5744</v>
      </c>
      <c r="B209" s="119" t="str">
        <f>Données!B209</f>
        <v>Ballaigues</v>
      </c>
      <c r="C209" s="307">
        <f>Ressources!H209</f>
        <v>-409305.38013949752</v>
      </c>
      <c r="D209" s="307">
        <f>Ressources!L209</f>
        <v>0</v>
      </c>
      <c r="E209" s="335">
        <f>Ressources!T209</f>
        <v>71886.761519029678</v>
      </c>
      <c r="F209" s="308">
        <f t="shared" si="15"/>
        <v>-337418.61862046784</v>
      </c>
      <c r="G209" s="307">
        <f>'Besoins structurels'!I209</f>
        <v>0</v>
      </c>
      <c r="H209" s="307">
        <f>'Besoins structurels'!N209</f>
        <v>-170576</v>
      </c>
      <c r="I209" s="307">
        <f>'Besoins structurels'!V209</f>
        <v>0</v>
      </c>
      <c r="J209" s="309">
        <f t="shared" si="16"/>
        <v>-170576</v>
      </c>
      <c r="K209" s="307">
        <f>'Charges des villes'!N209</f>
        <v>513010.19776400924</v>
      </c>
      <c r="L209" s="307">
        <f>'Charges des villes'!U209</f>
        <v>123107.74160856596</v>
      </c>
      <c r="M209" s="302">
        <f t="shared" si="17"/>
        <v>636117.93937257514</v>
      </c>
      <c r="N209" s="308">
        <f>-VLOOKUP(A209,Paramètres!$B$23:$C$322,2,FALSE)*$N$5</f>
        <v>-49300</v>
      </c>
      <c r="O209" s="322"/>
      <c r="P209" s="602">
        <f t="shared" si="18"/>
        <v>78823.320752107305</v>
      </c>
      <c r="Q209" s="603"/>
      <c r="R209" s="603"/>
      <c r="S209" s="604"/>
      <c r="T209" s="308">
        <f>PCS!D209</f>
        <v>1184900.9205497173</v>
      </c>
      <c r="U209" s="303">
        <f>Police!U209</f>
        <v>181752.73549643689</v>
      </c>
      <c r="V209" s="336">
        <f t="shared" si="19"/>
        <v>1445476.9767982615</v>
      </c>
      <c r="W209" s="180"/>
      <c r="X209" s="180"/>
      <c r="Y209" s="180"/>
      <c r="Z209" s="15"/>
    </row>
    <row r="210" spans="1:26" x14ac:dyDescent="0.25">
      <c r="A210" s="111">
        <f>Données!A210</f>
        <v>5745</v>
      </c>
      <c r="B210" s="119" t="str">
        <f>Données!B210</f>
        <v>Baulmes</v>
      </c>
      <c r="C210" s="307">
        <f>Ressources!H210</f>
        <v>-1642945.5953064268</v>
      </c>
      <c r="D210" s="307">
        <f>Ressources!L210</f>
        <v>0</v>
      </c>
      <c r="E210" s="335">
        <f>Ressources!T210</f>
        <v>-183258.58028666693</v>
      </c>
      <c r="F210" s="308">
        <f t="shared" si="15"/>
        <v>-1826204.1755930937</v>
      </c>
      <c r="G210" s="307">
        <f>'Besoins structurels'!I210</f>
        <v>-140739</v>
      </c>
      <c r="H210" s="307">
        <f>'Besoins structurels'!N210</f>
        <v>-249</v>
      </c>
      <c r="I210" s="307">
        <f>'Besoins structurels'!V210</f>
        <v>0</v>
      </c>
      <c r="J210" s="309">
        <f t="shared" si="16"/>
        <v>-140988</v>
      </c>
      <c r="K210" s="307">
        <f>'Charges des villes'!N210</f>
        <v>506726.89610501617</v>
      </c>
      <c r="L210" s="307">
        <f>'Charges des villes'!U210</f>
        <v>120275.35314099008</v>
      </c>
      <c r="M210" s="302">
        <f t="shared" si="17"/>
        <v>627002.24924600625</v>
      </c>
      <c r="N210" s="308">
        <f>-VLOOKUP(A210,Paramètres!$B$23:$C$322,2,FALSE)*$N$5</f>
        <v>-192100</v>
      </c>
      <c r="O210" s="322"/>
      <c r="P210" s="602">
        <f t="shared" si="18"/>
        <v>-1532289.9263470876</v>
      </c>
      <c r="Q210" s="603"/>
      <c r="R210" s="603"/>
      <c r="S210" s="604"/>
      <c r="T210" s="308">
        <f>PCS!D210</f>
        <v>1157639.4367572833</v>
      </c>
      <c r="U210" s="303">
        <f>Police!U210</f>
        <v>177007.41605371743</v>
      </c>
      <c r="V210" s="336">
        <f t="shared" si="19"/>
        <v>-197643.07353608689</v>
      </c>
      <c r="W210" s="180"/>
      <c r="X210" s="180"/>
      <c r="Y210" s="180"/>
      <c r="Z210" s="15"/>
    </row>
    <row r="211" spans="1:26" x14ac:dyDescent="0.25">
      <c r="A211" s="111">
        <f>Données!A211</f>
        <v>5746</v>
      </c>
      <c r="B211" s="119" t="str">
        <f>Données!B211</f>
        <v>Bavois</v>
      </c>
      <c r="C211" s="307">
        <f>Ressources!H211</f>
        <v>-905920.27358087164</v>
      </c>
      <c r="D211" s="307">
        <f>Ressources!L211</f>
        <v>0</v>
      </c>
      <c r="E211" s="335">
        <f>Ressources!T211</f>
        <v>-108510.52714250088</v>
      </c>
      <c r="F211" s="308">
        <f t="shared" si="15"/>
        <v>-1014430.8007233725</v>
      </c>
      <c r="G211" s="307">
        <f>'Besoins structurels'!I211</f>
        <v>-12408</v>
      </c>
      <c r="H211" s="307">
        <f>'Besoins structurels'!N211</f>
        <v>0</v>
      </c>
      <c r="I211" s="307">
        <f>'Besoins structurels'!V211</f>
        <v>0</v>
      </c>
      <c r="J211" s="309">
        <f t="shared" si="16"/>
        <v>-12408</v>
      </c>
      <c r="K211" s="307">
        <f>'Charges des villes'!N211</f>
        <v>476656.80959412048</v>
      </c>
      <c r="L211" s="307">
        <f>'Charges des villes'!U211</f>
        <v>106720.3511890198</v>
      </c>
      <c r="M211" s="302">
        <f t="shared" si="17"/>
        <v>583377.16078314022</v>
      </c>
      <c r="N211" s="308">
        <f>-VLOOKUP(A211,Paramètres!$B$23:$C$322,2,FALSE)*$N$5</f>
        <v>-87800</v>
      </c>
      <c r="O211" s="322"/>
      <c r="P211" s="602">
        <f t="shared" si="18"/>
        <v>-531261.63994023227</v>
      </c>
      <c r="Q211" s="603"/>
      <c r="R211" s="603"/>
      <c r="S211" s="604"/>
      <c r="T211" s="308">
        <f>PCS!D211</f>
        <v>1027173.7643220639</v>
      </c>
      <c r="U211" s="303">
        <f>Police!U211</f>
        <v>154297.67300641703</v>
      </c>
      <c r="V211" s="336">
        <f t="shared" si="19"/>
        <v>650209.79738824861</v>
      </c>
      <c r="W211" s="180"/>
      <c r="X211" s="180"/>
      <c r="Y211" s="180"/>
      <c r="Z211" s="15"/>
    </row>
    <row r="212" spans="1:26" x14ac:dyDescent="0.25">
      <c r="A212" s="111">
        <f>Données!A212</f>
        <v>5747</v>
      </c>
      <c r="B212" s="119" t="str">
        <f>Données!B212</f>
        <v>Bofflens</v>
      </c>
      <c r="C212" s="307">
        <f>Ressources!H212</f>
        <v>-190172.03055318934</v>
      </c>
      <c r="D212" s="307">
        <f>Ressources!L212</f>
        <v>0</v>
      </c>
      <c r="E212" s="335">
        <f>Ressources!T212</f>
        <v>54536.375283751018</v>
      </c>
      <c r="F212" s="308">
        <f t="shared" si="15"/>
        <v>-135635.65526943831</v>
      </c>
      <c r="G212" s="307">
        <f>'Besoins structurels'!I212</f>
        <v>-27970</v>
      </c>
      <c r="H212" s="307">
        <f>'Besoins structurels'!N212</f>
        <v>0</v>
      </c>
      <c r="I212" s="307">
        <f>'Besoins structurels'!V212</f>
        <v>-958</v>
      </c>
      <c r="J212" s="309">
        <f t="shared" si="16"/>
        <v>-28928</v>
      </c>
      <c r="K212" s="307">
        <f>'Charges des villes'!N212</f>
        <v>93327.23659126932</v>
      </c>
      <c r="L212" s="307">
        <f>'Charges des villes'!U212</f>
        <v>20332.502927955429</v>
      </c>
      <c r="M212" s="302">
        <f t="shared" si="17"/>
        <v>113659.73951922475</v>
      </c>
      <c r="N212" s="308">
        <f>-VLOOKUP(A212,Paramètres!$B$23:$C$322,2,FALSE)*$N$5</f>
        <v>0</v>
      </c>
      <c r="O212" s="322"/>
      <c r="P212" s="602">
        <f t="shared" si="18"/>
        <v>-50903.915750213564</v>
      </c>
      <c r="Q212" s="603"/>
      <c r="R212" s="603"/>
      <c r="S212" s="604"/>
      <c r="T212" s="308">
        <f>PCS!D212</f>
        <v>195698.50865282922</v>
      </c>
      <c r="U212" s="303">
        <f>Police!U212</f>
        <v>29140.278472887541</v>
      </c>
      <c r="V212" s="336">
        <f t="shared" si="19"/>
        <v>173934.87137550319</v>
      </c>
      <c r="W212" s="180"/>
      <c r="X212" s="180"/>
      <c r="Y212" s="180"/>
      <c r="Z212" s="15"/>
    </row>
    <row r="213" spans="1:26" x14ac:dyDescent="0.25">
      <c r="A213" s="111">
        <f>Données!A213</f>
        <v>5748</v>
      </c>
      <c r="B213" s="119" t="str">
        <f>Données!B213</f>
        <v>Bretonnières</v>
      </c>
      <c r="C213" s="307">
        <f>Ressources!H213</f>
        <v>-382670.09314696578</v>
      </c>
      <c r="D213" s="307">
        <f>Ressources!L213</f>
        <v>-3905</v>
      </c>
      <c r="E213" s="335">
        <f>Ressources!T213</f>
        <v>-23058.489874656625</v>
      </c>
      <c r="F213" s="308">
        <f t="shared" si="15"/>
        <v>-409633.58302162238</v>
      </c>
      <c r="G213" s="307">
        <f>'Besoins structurels'!I213</f>
        <v>-36828</v>
      </c>
      <c r="H213" s="307">
        <f>'Besoins structurels'!N213</f>
        <v>-76</v>
      </c>
      <c r="I213" s="307">
        <f>'Besoins structurels'!V213</f>
        <v>-56973</v>
      </c>
      <c r="J213" s="309">
        <f t="shared" si="16"/>
        <v>-93877</v>
      </c>
      <c r="K213" s="307">
        <f>'Charges des villes'!N213</f>
        <v>123043.37162530533</v>
      </c>
      <c r="L213" s="307">
        <f>'Charges des villes'!U213</f>
        <v>26806.533710986016</v>
      </c>
      <c r="M213" s="302">
        <f t="shared" si="17"/>
        <v>149849.90533629135</v>
      </c>
      <c r="N213" s="308">
        <f>-VLOOKUP(A213,Paramètres!$B$23:$C$322,2,FALSE)*$N$5</f>
        <v>0</v>
      </c>
      <c r="O213" s="322"/>
      <c r="P213" s="602">
        <f t="shared" si="18"/>
        <v>-353660.67768533103</v>
      </c>
      <c r="Q213" s="603"/>
      <c r="R213" s="603"/>
      <c r="S213" s="604"/>
      <c r="T213" s="308">
        <f>PCS!D213</f>
        <v>258010.4716069639</v>
      </c>
      <c r="U213" s="303">
        <f>Police!U213</f>
        <v>38418.775101070642</v>
      </c>
      <c r="V213" s="336">
        <f t="shared" si="19"/>
        <v>-57231.430977296492</v>
      </c>
      <c r="W213" s="180"/>
      <c r="X213" s="180"/>
      <c r="Y213" s="180"/>
      <c r="Z213" s="15"/>
    </row>
    <row r="214" spans="1:26" x14ac:dyDescent="0.25">
      <c r="A214" s="111">
        <f>Données!A214</f>
        <v>5749</v>
      </c>
      <c r="B214" s="119" t="str">
        <f>Données!B214</f>
        <v>Chavornay</v>
      </c>
      <c r="C214" s="307">
        <f>Ressources!H214</f>
        <v>-6151508.0694121104</v>
      </c>
      <c r="D214" s="307">
        <f>Ressources!L214</f>
        <v>0</v>
      </c>
      <c r="E214" s="335">
        <f>Ressources!T214</f>
        <v>-595136.99236379156</v>
      </c>
      <c r="F214" s="308">
        <f t="shared" si="15"/>
        <v>-6746645.0617759023</v>
      </c>
      <c r="G214" s="307">
        <f>'Besoins structurels'!I214</f>
        <v>0</v>
      </c>
      <c r="H214" s="307">
        <f>'Besoins structurels'!N214</f>
        <v>0</v>
      </c>
      <c r="I214" s="307">
        <f>'Besoins structurels'!V214</f>
        <v>0</v>
      </c>
      <c r="J214" s="309">
        <f t="shared" si="16"/>
        <v>0</v>
      </c>
      <c r="K214" s="307">
        <f>'Charges des villes'!N214</f>
        <v>749741.05587462103</v>
      </c>
      <c r="L214" s="307">
        <f>'Charges des villes'!U214</f>
        <v>543616.27231259935</v>
      </c>
      <c r="M214" s="302">
        <f t="shared" si="17"/>
        <v>1293357.3281872203</v>
      </c>
      <c r="N214" s="308">
        <f>-VLOOKUP(A214,Paramètres!$B$23:$C$322,2,FALSE)*$N$5</f>
        <v>0</v>
      </c>
      <c r="O214" s="322"/>
      <c r="P214" s="602">
        <f t="shared" si="18"/>
        <v>-5453287.7335886825</v>
      </c>
      <c r="Q214" s="603"/>
      <c r="R214" s="603"/>
      <c r="S214" s="604"/>
      <c r="T214" s="308">
        <f>PCS!D214</f>
        <v>5232257.6393049965</v>
      </c>
      <c r="U214" s="303">
        <f>Police!U214</f>
        <v>919925.07664161141</v>
      </c>
      <c r="V214" s="336">
        <f t="shared" si="19"/>
        <v>698894.98235792539</v>
      </c>
      <c r="W214" s="180"/>
      <c r="X214" s="180"/>
      <c r="Y214" s="180"/>
      <c r="Z214" s="15"/>
    </row>
    <row r="215" spans="1:26" x14ac:dyDescent="0.25">
      <c r="A215" s="111">
        <f>Données!A215</f>
        <v>5750</v>
      </c>
      <c r="B215" s="119" t="str">
        <f>Données!B215</f>
        <v>Les Clées</v>
      </c>
      <c r="C215" s="307">
        <f>Ressources!H215</f>
        <v>-191981.24204943259</v>
      </c>
      <c r="D215" s="307">
        <f>Ressources!L215</f>
        <v>0</v>
      </c>
      <c r="E215" s="335">
        <f>Ressources!T215</f>
        <v>-40679.746888898269</v>
      </c>
      <c r="F215" s="308">
        <f t="shared" si="15"/>
        <v>-232660.98893833085</v>
      </c>
      <c r="G215" s="307">
        <f>'Besoins structurels'!I215</f>
        <v>-57889</v>
      </c>
      <c r="H215" s="307">
        <f>'Besoins structurels'!N215</f>
        <v>0</v>
      </c>
      <c r="I215" s="307">
        <f>'Besoins structurels'!V215</f>
        <v>0</v>
      </c>
      <c r="J215" s="309">
        <f t="shared" si="16"/>
        <v>-57889</v>
      </c>
      <c r="K215" s="307">
        <f>'Charges des villes'!N215</f>
        <v>90541.348931828456</v>
      </c>
      <c r="L215" s="307">
        <f>'Charges des villes'!U215</f>
        <v>19725.562542046311</v>
      </c>
      <c r="M215" s="302">
        <f t="shared" si="17"/>
        <v>110266.91147387476</v>
      </c>
      <c r="N215" s="308">
        <f>-VLOOKUP(A215,Paramètres!$B$23:$C$322,2,FALSE)*$N$5</f>
        <v>0</v>
      </c>
      <c r="O215" s="322"/>
      <c r="P215" s="602">
        <f t="shared" si="18"/>
        <v>-180283.07746445609</v>
      </c>
      <c r="Q215" s="603"/>
      <c r="R215" s="603"/>
      <c r="S215" s="604"/>
      <c r="T215" s="308">
        <f>PCS!D215</f>
        <v>189856.76212587912</v>
      </c>
      <c r="U215" s="303">
        <f>Police!U215</f>
        <v>28270.419413995376</v>
      </c>
      <c r="V215" s="336">
        <f t="shared" si="19"/>
        <v>37844.104075418407</v>
      </c>
      <c r="W215" s="180"/>
      <c r="X215" s="180"/>
      <c r="Y215" s="180"/>
      <c r="Z215" s="15"/>
    </row>
    <row r="216" spans="1:26" x14ac:dyDescent="0.25">
      <c r="A216" s="111">
        <f>Données!A216</f>
        <v>5752</v>
      </c>
      <c r="B216" s="119" t="str">
        <f>Données!B216</f>
        <v>Croy</v>
      </c>
      <c r="C216" s="307">
        <f>Ressources!H216</f>
        <v>-432226.61485484638</v>
      </c>
      <c r="D216" s="307">
        <f>Ressources!L216</f>
        <v>0</v>
      </c>
      <c r="E216" s="335">
        <f>Ressources!T216</f>
        <v>-71412.512259848692</v>
      </c>
      <c r="F216" s="308">
        <f t="shared" si="15"/>
        <v>-503639.12711469509</v>
      </c>
      <c r="G216" s="307">
        <f>'Besoins structurels'!I216</f>
        <v>-14827</v>
      </c>
      <c r="H216" s="307">
        <f>'Besoins structurels'!N216</f>
        <v>0</v>
      </c>
      <c r="I216" s="307">
        <f>'Besoins structurels'!V216</f>
        <v>0</v>
      </c>
      <c r="J216" s="309">
        <f t="shared" si="16"/>
        <v>-14827</v>
      </c>
      <c r="K216" s="307">
        <f>'Charges des villes'!N216</f>
        <v>189440.36084197953</v>
      </c>
      <c r="L216" s="307">
        <f>'Charges des villes'!U216</f>
        <v>41271.946241819976</v>
      </c>
      <c r="M216" s="302">
        <f t="shared" si="17"/>
        <v>230712.3070837995</v>
      </c>
      <c r="N216" s="308">
        <f>-VLOOKUP(A216,Paramètres!$B$23:$C$322,2,FALSE)*$N$5</f>
        <v>-94500</v>
      </c>
      <c r="O216" s="322"/>
      <c r="P216" s="602">
        <f t="shared" si="18"/>
        <v>-382253.82003089559</v>
      </c>
      <c r="Q216" s="603"/>
      <c r="R216" s="603"/>
      <c r="S216" s="604"/>
      <c r="T216" s="308">
        <f>PCS!D216</f>
        <v>397238.76383260859</v>
      </c>
      <c r="U216" s="303">
        <f>Police!U216</f>
        <v>59150.416004667255</v>
      </c>
      <c r="V216" s="336">
        <f t="shared" si="19"/>
        <v>74135.359806380264</v>
      </c>
      <c r="W216" s="180"/>
      <c r="X216" s="180"/>
      <c r="Y216" s="180"/>
      <c r="Z216" s="15"/>
    </row>
    <row r="217" spans="1:26" x14ac:dyDescent="0.25">
      <c r="A217" s="111">
        <f>Données!A217</f>
        <v>5754</v>
      </c>
      <c r="B217" s="119" t="str">
        <f>Données!B217</f>
        <v>Juriens</v>
      </c>
      <c r="C217" s="307">
        <f>Ressources!H217</f>
        <v>-457155.98117742559</v>
      </c>
      <c r="D217" s="307">
        <f>Ressources!L217</f>
        <v>0</v>
      </c>
      <c r="E217" s="335">
        <f>Ressources!T217</f>
        <v>-57447.287572666173</v>
      </c>
      <c r="F217" s="308">
        <f t="shared" si="15"/>
        <v>-514603.26875009178</v>
      </c>
      <c r="G217" s="307">
        <f>'Besoins structurels'!I217</f>
        <v>-71250</v>
      </c>
      <c r="H217" s="307">
        <f>'Besoins structurels'!N217</f>
        <v>-30753</v>
      </c>
      <c r="I217" s="307">
        <f>'Besoins structurels'!V217</f>
        <v>0</v>
      </c>
      <c r="J217" s="309">
        <f t="shared" si="16"/>
        <v>-102003</v>
      </c>
      <c r="K217" s="307">
        <f>'Charges des villes'!N217</f>
        <v>160188.54041785034</v>
      </c>
      <c r="L217" s="307">
        <f>'Charges des villes'!U217</f>
        <v>34899.072189774248</v>
      </c>
      <c r="M217" s="302">
        <f t="shared" si="17"/>
        <v>195087.61260762459</v>
      </c>
      <c r="N217" s="308">
        <f>-VLOOKUP(A217,Paramètres!$B$23:$C$322,2,FALSE)*$N$5</f>
        <v>0</v>
      </c>
      <c r="O217" s="322"/>
      <c r="P217" s="602">
        <f t="shared" si="18"/>
        <v>-421518.65614246717</v>
      </c>
      <c r="Q217" s="603"/>
      <c r="R217" s="603"/>
      <c r="S217" s="604"/>
      <c r="T217" s="308">
        <f>PCS!D217</f>
        <v>335900.42529963225</v>
      </c>
      <c r="U217" s="303">
        <f>Police!U217</f>
        <v>50016.895886299506</v>
      </c>
      <c r="V217" s="336">
        <f t="shared" si="19"/>
        <v>-35601.334956535415</v>
      </c>
      <c r="W217" s="180"/>
      <c r="X217" s="180"/>
      <c r="Y217" s="180"/>
      <c r="Z217" s="15"/>
    </row>
    <row r="218" spans="1:26" x14ac:dyDescent="0.25">
      <c r="A218" s="111">
        <f>Données!A218</f>
        <v>5755</v>
      </c>
      <c r="B218" s="119" t="str">
        <f>Données!B218</f>
        <v>Lignerolle</v>
      </c>
      <c r="C218" s="307">
        <f>Ressources!H218</f>
        <v>-684460.93888927193</v>
      </c>
      <c r="D218" s="307">
        <f>Ressources!L218</f>
        <v>-14600</v>
      </c>
      <c r="E218" s="335">
        <f>Ressources!T218</f>
        <v>-35940.752993753937</v>
      </c>
      <c r="F218" s="308">
        <f t="shared" si="15"/>
        <v>-735001.69188302592</v>
      </c>
      <c r="G218" s="307">
        <f>'Besoins structurels'!I218</f>
        <v>-76176</v>
      </c>
      <c r="H218" s="307">
        <f>'Besoins structurels'!N218</f>
        <v>-68389</v>
      </c>
      <c r="I218" s="307">
        <f>'Besoins structurels'!V218</f>
        <v>-56253</v>
      </c>
      <c r="J218" s="309">
        <f t="shared" si="16"/>
        <v>-200818</v>
      </c>
      <c r="K218" s="307">
        <f>'Charges des villes'!N218</f>
        <v>209870.2036778793</v>
      </c>
      <c r="L218" s="307">
        <f>'Charges des villes'!U218</f>
        <v>45722.842405153504</v>
      </c>
      <c r="M218" s="302">
        <f t="shared" si="17"/>
        <v>255593.04608303279</v>
      </c>
      <c r="N218" s="308">
        <f>-VLOOKUP(A218,Paramètres!$B$23:$C$322,2,FALSE)*$N$5</f>
        <v>-21900</v>
      </c>
      <c r="O218" s="322"/>
      <c r="P218" s="602">
        <f t="shared" si="18"/>
        <v>-702126.64579999307</v>
      </c>
      <c r="Q218" s="603"/>
      <c r="R218" s="603"/>
      <c r="S218" s="604"/>
      <c r="T218" s="308">
        <f>PCS!D218</f>
        <v>440078.23836357618</v>
      </c>
      <c r="U218" s="303">
        <f>Police!U218</f>
        <v>65529.382436543136</v>
      </c>
      <c r="V218" s="336">
        <f t="shared" si="19"/>
        <v>-196519.02499987377</v>
      </c>
      <c r="W218" s="180"/>
      <c r="X218" s="180"/>
      <c r="Y218" s="180"/>
      <c r="Z218" s="15"/>
    </row>
    <row r="219" spans="1:26" x14ac:dyDescent="0.25">
      <c r="A219" s="111">
        <f>Données!A219</f>
        <v>5756</v>
      </c>
      <c r="B219" s="119" t="str">
        <f>Données!B219</f>
        <v>Montcherand</v>
      </c>
      <c r="C219" s="307">
        <f>Ressources!H219</f>
        <v>-244239.00690349654</v>
      </c>
      <c r="D219" s="307">
        <f>Ressources!L219</f>
        <v>0</v>
      </c>
      <c r="E219" s="335">
        <f>Ressources!T219</f>
        <v>-109808.69278520896</v>
      </c>
      <c r="F219" s="308">
        <f t="shared" si="15"/>
        <v>-354047.6996887055</v>
      </c>
      <c r="G219" s="307">
        <f>'Besoins structurels'!I219</f>
        <v>0</v>
      </c>
      <c r="H219" s="307">
        <f>'Besoins structurels'!N219</f>
        <v>0</v>
      </c>
      <c r="I219" s="307">
        <f>'Besoins structurels'!V219</f>
        <v>0</v>
      </c>
      <c r="J219" s="309">
        <f t="shared" si="16"/>
        <v>0</v>
      </c>
      <c r="K219" s="307">
        <f>'Charges des villes'!N219</f>
        <v>229371.41729396541</v>
      </c>
      <c r="L219" s="307">
        <f>'Charges des villes'!U219</f>
        <v>49971.425106517323</v>
      </c>
      <c r="M219" s="302">
        <f t="shared" si="17"/>
        <v>279342.84240048274</v>
      </c>
      <c r="N219" s="308">
        <f>-VLOOKUP(A219,Paramètres!$B$23:$C$322,2,FALSE)*$N$5</f>
        <v>0</v>
      </c>
      <c r="O219" s="322"/>
      <c r="P219" s="602">
        <f t="shared" si="18"/>
        <v>-74704.85728822276</v>
      </c>
      <c r="Q219" s="603"/>
      <c r="R219" s="603"/>
      <c r="S219" s="604"/>
      <c r="T219" s="308">
        <f>PCS!D219</f>
        <v>480970.46405222709</v>
      </c>
      <c r="U219" s="303">
        <f>Police!U219</f>
        <v>71618.395848788292</v>
      </c>
      <c r="V219" s="336">
        <f t="shared" si="19"/>
        <v>477884.00261279265</v>
      </c>
      <c r="W219" s="180"/>
      <c r="X219" s="180"/>
      <c r="Y219" s="180"/>
      <c r="Z219" s="15"/>
    </row>
    <row r="220" spans="1:26" x14ac:dyDescent="0.25">
      <c r="A220" s="111">
        <f>Données!A220</f>
        <v>5757</v>
      </c>
      <c r="B220" s="119" t="str">
        <f>Données!B220</f>
        <v>Orbe</v>
      </c>
      <c r="C220" s="307">
        <f>Ressources!H220</f>
        <v>-8978074.9414646067</v>
      </c>
      <c r="D220" s="307">
        <f>Ressources!L220</f>
        <v>0</v>
      </c>
      <c r="E220" s="335">
        <f>Ressources!T220</f>
        <v>-495158.54357075552</v>
      </c>
      <c r="F220" s="308">
        <f t="shared" si="15"/>
        <v>-9473233.4850353617</v>
      </c>
      <c r="G220" s="307">
        <f>'Besoins structurels'!I220</f>
        <v>0</v>
      </c>
      <c r="H220" s="307">
        <f>'Besoins structurels'!N220</f>
        <v>0</v>
      </c>
      <c r="I220" s="307">
        <f>'Besoins structurels'!V220</f>
        <v>0</v>
      </c>
      <c r="J220" s="309">
        <f t="shared" si="16"/>
        <v>0</v>
      </c>
      <c r="K220" s="307">
        <f>'Charges des villes'!N220</f>
        <v>568466.8066184232</v>
      </c>
      <c r="L220" s="307">
        <f>'Charges des villes'!U220</f>
        <v>595911.94172670203</v>
      </c>
      <c r="M220" s="302">
        <f t="shared" si="17"/>
        <v>1164378.7483451252</v>
      </c>
      <c r="N220" s="308">
        <f>-VLOOKUP(A220,Paramètres!$B$23:$C$322,2,FALSE)*$N$5</f>
        <v>-1030500</v>
      </c>
      <c r="O220" s="322"/>
      <c r="P220" s="602">
        <f>F220+J220+M220+N220</f>
        <v>-9339354.7366902363</v>
      </c>
      <c r="Q220" s="603"/>
      <c r="R220" s="603"/>
      <c r="S220" s="604"/>
      <c r="T220" s="308">
        <f>PCS!D220</f>
        <v>7796784.3646361018</v>
      </c>
      <c r="U220" s="303">
        <f>Police!U220</f>
        <v>1430854.9077967447</v>
      </c>
      <c r="V220" s="336">
        <f t="shared" si="19"/>
        <v>-111715.46425738977</v>
      </c>
      <c r="W220" s="180"/>
      <c r="X220" s="180"/>
      <c r="Y220" s="180"/>
      <c r="Z220" s="15"/>
    </row>
    <row r="221" spans="1:26" x14ac:dyDescent="0.25">
      <c r="A221" s="111">
        <f>Données!A221</f>
        <v>5758</v>
      </c>
      <c r="B221" s="119" t="str">
        <f>Données!B221</f>
        <v>La Praz</v>
      </c>
      <c r="C221" s="307">
        <f>Ressources!H221</f>
        <v>-293099.78713740368</v>
      </c>
      <c r="D221" s="307">
        <f>Ressources!L221</f>
        <v>0</v>
      </c>
      <c r="E221" s="335">
        <f>Ressources!T221</f>
        <v>-36323.250842175534</v>
      </c>
      <c r="F221" s="308">
        <f t="shared" si="15"/>
        <v>-329423.03797957918</v>
      </c>
      <c r="G221" s="307">
        <f>'Besoins structurels'!I221</f>
        <v>-37040</v>
      </c>
      <c r="H221" s="307">
        <f>'Besoins structurels'!N221</f>
        <v>-27234</v>
      </c>
      <c r="I221" s="307">
        <f>'Besoins structurels'!V221</f>
        <v>0</v>
      </c>
      <c r="J221" s="309">
        <f t="shared" si="16"/>
        <v>-64274</v>
      </c>
      <c r="K221" s="307">
        <f>'Charges des villes'!N221</f>
        <v>99363.32652005789</v>
      </c>
      <c r="L221" s="307">
        <f>'Charges des villes'!U221</f>
        <v>21647.540430758516</v>
      </c>
      <c r="M221" s="302">
        <f t="shared" si="17"/>
        <v>121010.8669508164</v>
      </c>
      <c r="N221" s="308">
        <f>-VLOOKUP(A221,Paramètres!$B$23:$C$322,2,FALSE)*$N$5</f>
        <v>0</v>
      </c>
      <c r="O221" s="322"/>
      <c r="P221" s="602">
        <f t="shared" si="18"/>
        <v>-272686.17102876276</v>
      </c>
      <c r="Q221" s="603"/>
      <c r="R221" s="603"/>
      <c r="S221" s="604"/>
      <c r="T221" s="308">
        <f>PCS!D221</f>
        <v>208355.62612788784</v>
      </c>
      <c r="U221" s="303">
        <f>Police!U221</f>
        <v>31024.973100487234</v>
      </c>
      <c r="V221" s="336">
        <f t="shared" si="19"/>
        <v>-33305.571800387697</v>
      </c>
      <c r="W221" s="180"/>
      <c r="X221" s="180"/>
      <c r="Y221" s="180"/>
      <c r="Z221" s="15"/>
    </row>
    <row r="222" spans="1:26" x14ac:dyDescent="0.25">
      <c r="A222" s="111">
        <f>Données!A222</f>
        <v>5759</v>
      </c>
      <c r="B222" s="119" t="str">
        <f>Données!B222</f>
        <v>Premier</v>
      </c>
      <c r="C222" s="307">
        <f>Ressources!H222</f>
        <v>-358537.41059406364</v>
      </c>
      <c r="D222" s="307">
        <f>Ressources!L222</f>
        <v>-8953</v>
      </c>
      <c r="E222" s="335">
        <f>Ressources!T222</f>
        <v>-46529.204795452803</v>
      </c>
      <c r="F222" s="308">
        <f t="shared" si="15"/>
        <v>-414019.61538951646</v>
      </c>
      <c r="G222" s="307">
        <f>'Besoins structurels'!I222</f>
        <v>-45514</v>
      </c>
      <c r="H222" s="307">
        <f>'Besoins structurels'!N222</f>
        <v>-28558</v>
      </c>
      <c r="I222" s="307">
        <f>'Besoins structurels'!V222</f>
        <v>-31418</v>
      </c>
      <c r="J222" s="309">
        <f t="shared" si="16"/>
        <v>-105490</v>
      </c>
      <c r="K222" s="307">
        <f>'Charges des villes'!N222</f>
        <v>108185.30410828732</v>
      </c>
      <c r="L222" s="307">
        <f>'Charges des villes'!U222</f>
        <v>23569.518319470721</v>
      </c>
      <c r="M222" s="302">
        <f t="shared" si="17"/>
        <v>131754.82242775804</v>
      </c>
      <c r="N222" s="308">
        <f>-VLOOKUP(A222,Paramètres!$B$23:$C$322,2,FALSE)*$N$5</f>
        <v>0</v>
      </c>
      <c r="O222" s="322"/>
      <c r="P222" s="602">
        <f t="shared" si="18"/>
        <v>-387754.79296175845</v>
      </c>
      <c r="Q222" s="603"/>
      <c r="R222" s="603"/>
      <c r="S222" s="604"/>
      <c r="T222" s="308">
        <f>PCS!D222</f>
        <v>226854.49012989656</v>
      </c>
      <c r="U222" s="303">
        <f>Police!U222</f>
        <v>33779.526786979091</v>
      </c>
      <c r="V222" s="336">
        <f t="shared" si="19"/>
        <v>-127120.7760448828</v>
      </c>
      <c r="W222" s="180"/>
      <c r="X222" s="180"/>
      <c r="Y222" s="180"/>
      <c r="Z222" s="15"/>
    </row>
    <row r="223" spans="1:26" x14ac:dyDescent="0.25">
      <c r="A223" s="111">
        <f>Données!A223</f>
        <v>5760</v>
      </c>
      <c r="B223" s="119" t="str">
        <f>Données!B223</f>
        <v>Rances</v>
      </c>
      <c r="C223" s="307">
        <f>Ressources!H223</f>
        <v>-803896.12008725305</v>
      </c>
      <c r="D223" s="307">
        <f>Ressources!L223</f>
        <v>-23336</v>
      </c>
      <c r="E223" s="335">
        <f>Ressources!T223</f>
        <v>-112355.39173848621</v>
      </c>
      <c r="F223" s="308">
        <f t="shared" si="15"/>
        <v>-939587.51182573929</v>
      </c>
      <c r="G223" s="307">
        <f>'Besoins structurels'!I223</f>
        <v>-62886</v>
      </c>
      <c r="H223" s="307">
        <f>'Besoins structurels'!N223</f>
        <v>0</v>
      </c>
      <c r="I223" s="307">
        <f>'Besoins structurels'!V223</f>
        <v>0</v>
      </c>
      <c r="J223" s="309">
        <f t="shared" si="16"/>
        <v>-62886</v>
      </c>
      <c r="K223" s="307">
        <f>'Charges des villes'!N223</f>
        <v>238193.39488219487</v>
      </c>
      <c r="L223" s="307">
        <f>'Charges des villes'!U223</f>
        <v>51893.402995229531</v>
      </c>
      <c r="M223" s="302">
        <f t="shared" si="17"/>
        <v>290086.7978774244</v>
      </c>
      <c r="N223" s="308">
        <f>-VLOOKUP(A223,Paramètres!$B$23:$C$322,2,FALSE)*$N$5</f>
        <v>-19400</v>
      </c>
      <c r="O223" s="322"/>
      <c r="P223" s="602">
        <f t="shared" si="18"/>
        <v>-731786.71394831489</v>
      </c>
      <c r="Q223" s="603"/>
      <c r="R223" s="603"/>
      <c r="S223" s="604"/>
      <c r="T223" s="308">
        <f>PCS!D223</f>
        <v>499469.32805423578</v>
      </c>
      <c r="U223" s="303">
        <f>Police!U223</f>
        <v>74372.949535280146</v>
      </c>
      <c r="V223" s="336">
        <f t="shared" si="19"/>
        <v>-157944.43635879896</v>
      </c>
      <c r="W223" s="180"/>
      <c r="X223" s="180"/>
      <c r="Y223" s="180"/>
      <c r="Z223" s="15"/>
    </row>
    <row r="224" spans="1:26" x14ac:dyDescent="0.25">
      <c r="A224" s="111">
        <f>Données!A224</f>
        <v>5761</v>
      </c>
      <c r="B224" s="119" t="str">
        <f>Données!B224</f>
        <v>Romainmôtier-Envy</v>
      </c>
      <c r="C224" s="307">
        <f>Ressources!H224</f>
        <v>-846348.61449492443</v>
      </c>
      <c r="D224" s="307">
        <f>Ressources!L224</f>
        <v>-11095</v>
      </c>
      <c r="E224" s="335">
        <f>Ressources!T224</f>
        <v>-61271.322839344095</v>
      </c>
      <c r="F224" s="308">
        <f t="shared" si="15"/>
        <v>-918714.93733426859</v>
      </c>
      <c r="G224" s="307">
        <f>'Besoins structurels'!I224</f>
        <v>-27010</v>
      </c>
      <c r="H224" s="307">
        <f>'Besoins structurels'!N224</f>
        <v>-796</v>
      </c>
      <c r="I224" s="307">
        <f>'Besoins structurels'!V224</f>
        <v>0</v>
      </c>
      <c r="J224" s="309">
        <f t="shared" si="16"/>
        <v>-27806</v>
      </c>
      <c r="K224" s="307">
        <f>'Charges des villes'!N224</f>
        <v>268838.15913604444</v>
      </c>
      <c r="L224" s="307">
        <f>'Charges des villes'!U224</f>
        <v>58569.747240229823</v>
      </c>
      <c r="M224" s="302">
        <f t="shared" si="17"/>
        <v>327407.90637627424</v>
      </c>
      <c r="N224" s="308">
        <f>-VLOOKUP(A224,Paramètres!$B$23:$C$322,2,FALSE)*$N$5</f>
        <v>-59400</v>
      </c>
      <c r="O224" s="322"/>
      <c r="P224" s="602">
        <f t="shared" si="18"/>
        <v>-678513.03095799428</v>
      </c>
      <c r="Q224" s="603"/>
      <c r="R224" s="603"/>
      <c r="S224" s="604"/>
      <c r="T224" s="308">
        <f>PCS!D224</f>
        <v>563728.53985068714</v>
      </c>
      <c r="U224" s="303">
        <f>Police!U224</f>
        <v>83941.399183093963</v>
      </c>
      <c r="V224" s="336">
        <f t="shared" si="19"/>
        <v>-30843.091924213179</v>
      </c>
      <c r="W224" s="180"/>
      <c r="X224" s="180"/>
      <c r="Y224" s="180"/>
      <c r="Z224" s="15"/>
    </row>
    <row r="225" spans="1:26" x14ac:dyDescent="0.25">
      <c r="A225" s="111">
        <f>Données!A225</f>
        <v>5762</v>
      </c>
      <c r="B225" s="119" t="str">
        <f>Données!B225</f>
        <v>Sergey</v>
      </c>
      <c r="C225" s="307">
        <f>Ressources!H225</f>
        <v>-183679.73767128738</v>
      </c>
      <c r="D225" s="307">
        <f>Ressources!L225</f>
        <v>0</v>
      </c>
      <c r="E225" s="335">
        <f>Ressources!T225</f>
        <v>-33005.802752144693</v>
      </c>
      <c r="F225" s="308">
        <f t="shared" si="15"/>
        <v>-216685.54042343207</v>
      </c>
      <c r="G225" s="307">
        <f>'Besoins structurels'!I225</f>
        <v>-2223</v>
      </c>
      <c r="H225" s="307">
        <f>'Besoins structurels'!N225</f>
        <v>0</v>
      </c>
      <c r="I225" s="307">
        <f>'Besoins structurels'!V225</f>
        <v>0</v>
      </c>
      <c r="J225" s="309">
        <f t="shared" si="16"/>
        <v>-2223</v>
      </c>
      <c r="K225" s="307">
        <f>'Charges des villes'!N225</f>
        <v>76611.910634624073</v>
      </c>
      <c r="L225" s="307">
        <f>'Charges des villes'!U225</f>
        <v>16690.860612500725</v>
      </c>
      <c r="M225" s="302">
        <f t="shared" si="17"/>
        <v>93302.771247124794</v>
      </c>
      <c r="N225" s="308">
        <f>-VLOOKUP(A225,Paramètres!$B$23:$C$322,2,FALSE)*$N$5</f>
        <v>-9200</v>
      </c>
      <c r="O225" s="322"/>
      <c r="P225" s="602">
        <f t="shared" si="18"/>
        <v>-134805.76917630728</v>
      </c>
      <c r="Q225" s="603"/>
      <c r="R225" s="603"/>
      <c r="S225" s="604"/>
      <c r="T225" s="308">
        <f>PCS!D225</f>
        <v>160648.02949112846</v>
      </c>
      <c r="U225" s="303">
        <f>Police!U225</f>
        <v>23921.12411953455</v>
      </c>
      <c r="V225" s="336">
        <f t="shared" si="19"/>
        <v>49763.384434355728</v>
      </c>
      <c r="W225" s="180"/>
      <c r="X225" s="180"/>
      <c r="Y225" s="180"/>
      <c r="Z225" s="15"/>
    </row>
    <row r="226" spans="1:26" x14ac:dyDescent="0.25">
      <c r="A226" s="111">
        <f>Données!A226</f>
        <v>5763</v>
      </c>
      <c r="B226" s="119" t="str">
        <f>Données!B226</f>
        <v>Valeyres-sous-Rances</v>
      </c>
      <c r="C226" s="307">
        <f>Ressources!H226</f>
        <v>-724727.2493315133</v>
      </c>
      <c r="D226" s="307">
        <f>Ressources!L226</f>
        <v>0</v>
      </c>
      <c r="E226" s="335">
        <f>Ressources!T226</f>
        <v>-75655.305011993391</v>
      </c>
      <c r="F226" s="308">
        <f t="shared" si="15"/>
        <v>-800382.55434350669</v>
      </c>
      <c r="G226" s="307">
        <f>'Besoins structurels'!I226</f>
        <v>-20461</v>
      </c>
      <c r="H226" s="307">
        <f>'Besoins structurels'!N226</f>
        <v>0</v>
      </c>
      <c r="I226" s="307">
        <f>'Besoins structurels'!V226</f>
        <v>-46743</v>
      </c>
      <c r="J226" s="309">
        <f t="shared" si="16"/>
        <v>-67204</v>
      </c>
      <c r="K226" s="307">
        <f>'Charges des villes'!N226</f>
        <v>266052.27147660358</v>
      </c>
      <c r="L226" s="307">
        <f>'Charges des villes'!U226</f>
        <v>57962.806854320705</v>
      </c>
      <c r="M226" s="302">
        <f t="shared" si="17"/>
        <v>324015.07833092427</v>
      </c>
      <c r="N226" s="308">
        <f>-VLOOKUP(A226,Paramètres!$B$23:$C$322,2,FALSE)*$N$5</f>
        <v>0</v>
      </c>
      <c r="O226" s="322"/>
      <c r="P226" s="602">
        <f t="shared" si="18"/>
        <v>-543571.47601258243</v>
      </c>
      <c r="Q226" s="603"/>
      <c r="R226" s="603"/>
      <c r="S226" s="604"/>
      <c r="T226" s="308">
        <f>PCS!D226</f>
        <v>557886.7933237371</v>
      </c>
      <c r="U226" s="303">
        <f>Police!U226</f>
        <v>83071.540124201798</v>
      </c>
      <c r="V226" s="336">
        <f t="shared" si="19"/>
        <v>97386.857435356476</v>
      </c>
      <c r="W226" s="180"/>
      <c r="X226" s="180"/>
      <c r="Y226" s="180"/>
      <c r="Z226" s="15"/>
    </row>
    <row r="227" spans="1:26" x14ac:dyDescent="0.25">
      <c r="A227" s="111">
        <f>Données!A227</f>
        <v>5764</v>
      </c>
      <c r="B227" s="119" t="str">
        <f>Données!B227</f>
        <v>Vallorbe</v>
      </c>
      <c r="C227" s="307">
        <f>Ressources!H227</f>
        <v>-6961675.2516374597</v>
      </c>
      <c r="D227" s="307">
        <f>Ressources!L227</f>
        <v>-205043</v>
      </c>
      <c r="E227" s="335">
        <f>Ressources!T227</f>
        <v>761090.33558782097</v>
      </c>
      <c r="F227" s="308">
        <f t="shared" si="15"/>
        <v>-6405627.9160496388</v>
      </c>
      <c r="G227" s="307">
        <f>'Besoins structurels'!I227</f>
        <v>0</v>
      </c>
      <c r="H227" s="307">
        <f>'Besoins structurels'!N227</f>
        <v>-1253352</v>
      </c>
      <c r="I227" s="307">
        <f>'Besoins structurels'!V227</f>
        <v>0</v>
      </c>
      <c r="J227" s="309">
        <f t="shared" si="16"/>
        <v>-1253352</v>
      </c>
      <c r="K227" s="307">
        <f>'Charges des villes'!N227</f>
        <v>814432.70139505621</v>
      </c>
      <c r="L227" s="307">
        <f>'Charges des villes'!U227</f>
        <v>448528.94518683769</v>
      </c>
      <c r="M227" s="302">
        <f t="shared" si="17"/>
        <v>1262961.6465818938</v>
      </c>
      <c r="N227" s="308">
        <f>-VLOOKUP(A227,Paramètres!$B$23:$C$322,2,FALSE)*$N$5</f>
        <v>-347600</v>
      </c>
      <c r="O227" s="322"/>
      <c r="P227" s="602">
        <f t="shared" si="18"/>
        <v>-6743618.269467745</v>
      </c>
      <c r="Q227" s="603"/>
      <c r="R227" s="603"/>
      <c r="S227" s="604"/>
      <c r="T227" s="308">
        <f>PCS!D227</f>
        <v>4317050.6834161431</v>
      </c>
      <c r="U227" s="303">
        <f>Police!U227</f>
        <v>744521.9596609103</v>
      </c>
      <c r="V227" s="336">
        <f t="shared" si="19"/>
        <v>-1682045.6263906916</v>
      </c>
      <c r="W227" s="180"/>
      <c r="X227" s="180"/>
      <c r="Y227" s="180"/>
      <c r="Z227" s="15"/>
    </row>
    <row r="228" spans="1:26" x14ac:dyDescent="0.25">
      <c r="A228" s="111">
        <f>Données!A228</f>
        <v>5765</v>
      </c>
      <c r="B228" s="119" t="str">
        <f>Données!B228</f>
        <v>Vaulion</v>
      </c>
      <c r="C228" s="307">
        <f>Ressources!H228</f>
        <v>-844311.12527868932</v>
      </c>
      <c r="D228" s="307">
        <f>Ressources!L228</f>
        <v>-37941</v>
      </c>
      <c r="E228" s="335">
        <f>Ressources!T228</f>
        <v>-60257.975612559676</v>
      </c>
      <c r="F228" s="308">
        <f t="shared" si="15"/>
        <v>-942510.10089124902</v>
      </c>
      <c r="G228" s="307">
        <f>'Besoins structurels'!I228</f>
        <v>-99452</v>
      </c>
      <c r="H228" s="307">
        <f>'Besoins structurels'!N228</f>
        <v>-78877</v>
      </c>
      <c r="I228" s="307">
        <f>'Besoins structurels'!V228</f>
        <v>0</v>
      </c>
      <c r="J228" s="309">
        <f t="shared" si="16"/>
        <v>-178329</v>
      </c>
      <c r="K228" s="307">
        <f>'Charges des villes'!N228</f>
        <v>232157.30495340627</v>
      </c>
      <c r="L228" s="307">
        <f>'Charges des villes'!U228</f>
        <v>50578.365492426441</v>
      </c>
      <c r="M228" s="302">
        <f t="shared" si="17"/>
        <v>282735.67044583271</v>
      </c>
      <c r="N228" s="308">
        <f>-VLOOKUP(A228,Paramètres!$B$23:$C$322,2,FALSE)*$N$5</f>
        <v>0</v>
      </c>
      <c r="O228" s="322"/>
      <c r="P228" s="602">
        <f t="shared" si="18"/>
        <v>-838103.43044541636</v>
      </c>
      <c r="Q228" s="603"/>
      <c r="R228" s="603"/>
      <c r="S228" s="604"/>
      <c r="T228" s="308">
        <f>PCS!D228</f>
        <v>486812.21057917719</v>
      </c>
      <c r="U228" s="303">
        <f>Police!U228</f>
        <v>72488.254907680457</v>
      </c>
      <c r="V228" s="336">
        <f t="shared" si="19"/>
        <v>-278802.96495855873</v>
      </c>
      <c r="W228" s="180"/>
      <c r="X228" s="180"/>
      <c r="Y228" s="180"/>
      <c r="Z228" s="15"/>
    </row>
    <row r="229" spans="1:26" x14ac:dyDescent="0.25">
      <c r="A229" s="111">
        <f>Données!A229</f>
        <v>5766</v>
      </c>
      <c r="B229" s="119" t="str">
        <f>Données!B229</f>
        <v>Vuiteboeuf</v>
      </c>
      <c r="C229" s="307">
        <f>Ressources!H229</f>
        <v>-888026.5000904554</v>
      </c>
      <c r="D229" s="307">
        <f>Ressources!L229</f>
        <v>-8702</v>
      </c>
      <c r="E229" s="335">
        <f>Ressources!T229</f>
        <v>-122172.01527467351</v>
      </c>
      <c r="F229" s="308">
        <f t="shared" si="15"/>
        <v>-1018900.5153651289</v>
      </c>
      <c r="G229" s="307">
        <f>'Besoins structurels'!I229</f>
        <v>-4054</v>
      </c>
      <c r="H229" s="307">
        <f>'Besoins structurels'!N229</f>
        <v>0</v>
      </c>
      <c r="I229" s="307">
        <f>'Besoins structurels'!V229</f>
        <v>0</v>
      </c>
      <c r="J229" s="309">
        <f t="shared" si="16"/>
        <v>-4054</v>
      </c>
      <c r="K229" s="307">
        <f>'Charges des villes'!N229</f>
        <v>286017.7997025965</v>
      </c>
      <c r="L229" s="307">
        <f>'Charges des villes'!U229</f>
        <v>62312.546286669378</v>
      </c>
      <c r="M229" s="302">
        <f t="shared" si="17"/>
        <v>348330.34598926589</v>
      </c>
      <c r="N229" s="308">
        <f>-VLOOKUP(A229,Paramètres!$B$23:$C$322,2,FALSE)*$N$5</f>
        <v>-48600</v>
      </c>
      <c r="O229" s="322"/>
      <c r="P229" s="602">
        <f t="shared" si="18"/>
        <v>-723224.16937586293</v>
      </c>
      <c r="Q229" s="603"/>
      <c r="R229" s="603"/>
      <c r="S229" s="604"/>
      <c r="T229" s="308">
        <f>PCS!D229</f>
        <v>599752.6434335463</v>
      </c>
      <c r="U229" s="303">
        <f>Police!U229</f>
        <v>89305.530046262327</v>
      </c>
      <c r="V229" s="336">
        <f t="shared" si="19"/>
        <v>-34165.995896054301</v>
      </c>
      <c r="W229" s="180"/>
      <c r="X229" s="180"/>
      <c r="Y229" s="180"/>
      <c r="Z229" s="15"/>
    </row>
    <row r="230" spans="1:26" x14ac:dyDescent="0.25">
      <c r="A230" s="111">
        <f>Données!A230</f>
        <v>5785</v>
      </c>
      <c r="B230" s="119" t="str">
        <f>Données!B230</f>
        <v>Corcelles-le-Jorat</v>
      </c>
      <c r="C230" s="307">
        <f>Ressources!H230</f>
        <v>-390554.93401224201</v>
      </c>
      <c r="D230" s="307">
        <f>Ressources!L230</f>
        <v>0</v>
      </c>
      <c r="E230" s="335">
        <f>Ressources!T230</f>
        <v>-55536.808256434073</v>
      </c>
      <c r="F230" s="308">
        <f t="shared" si="15"/>
        <v>-446091.74226867605</v>
      </c>
      <c r="G230" s="307">
        <f>'Besoins structurels'!I230</f>
        <v>-44201</v>
      </c>
      <c r="H230" s="307">
        <f>'Besoins structurels'!N230</f>
        <v>-19159</v>
      </c>
      <c r="I230" s="307">
        <f>'Besoins structurels'!V230</f>
        <v>-6751</v>
      </c>
      <c r="J230" s="309">
        <f t="shared" si="16"/>
        <v>-70111</v>
      </c>
      <c r="K230" s="307">
        <f>'Charges des villes'!N230</f>
        <v>229835.73190387222</v>
      </c>
      <c r="L230" s="307">
        <f>'Charges des villes'!U230</f>
        <v>50072.581837502177</v>
      </c>
      <c r="M230" s="302">
        <f t="shared" si="17"/>
        <v>279908.31374137441</v>
      </c>
      <c r="N230" s="308">
        <f>-VLOOKUP(A230,Paramètres!$B$23:$C$322,2,FALSE)*$N$5</f>
        <v>0</v>
      </c>
      <c r="O230" s="322"/>
      <c r="P230" s="602">
        <f t="shared" si="18"/>
        <v>-236294.42852730164</v>
      </c>
      <c r="Q230" s="603"/>
      <c r="R230" s="603"/>
      <c r="S230" s="604"/>
      <c r="T230" s="308">
        <f>PCS!D230</f>
        <v>481944.08847338543</v>
      </c>
      <c r="U230" s="303">
        <f>Police!U230</f>
        <v>71763.37235860365</v>
      </c>
      <c r="V230" s="336">
        <f t="shared" si="19"/>
        <v>317413.03230468743</v>
      </c>
      <c r="W230" s="180"/>
      <c r="X230" s="180"/>
      <c r="Y230" s="180"/>
      <c r="Z230" s="15"/>
    </row>
    <row r="231" spans="1:26" x14ac:dyDescent="0.25">
      <c r="A231" s="111">
        <f>Données!A231</f>
        <v>5790</v>
      </c>
      <c r="B231" s="119" t="str">
        <f>Données!B231</f>
        <v>Maracon</v>
      </c>
      <c r="C231" s="307">
        <f>Ressources!H231</f>
        <v>-597910.57142124232</v>
      </c>
      <c r="D231" s="307">
        <f>Ressources!L231</f>
        <v>0</v>
      </c>
      <c r="E231" s="335">
        <f>Ressources!T231</f>
        <v>-129959.83624219242</v>
      </c>
      <c r="F231" s="308">
        <f t="shared" si="15"/>
        <v>-727870.40766343474</v>
      </c>
      <c r="G231" s="307">
        <f>'Besoins structurels'!I231</f>
        <v>0</v>
      </c>
      <c r="H231" s="307">
        <f>'Besoins structurels'!N231</f>
        <v>-21869</v>
      </c>
      <c r="I231" s="307">
        <f>'Besoins structurels'!V231</f>
        <v>-24947</v>
      </c>
      <c r="J231" s="309">
        <f t="shared" si="16"/>
        <v>-46816</v>
      </c>
      <c r="K231" s="307">
        <f>'Charges des villes'!N231</f>
        <v>262337.75459734909</v>
      </c>
      <c r="L231" s="307">
        <f>'Charges des villes'!U231</f>
        <v>57153.553006441878</v>
      </c>
      <c r="M231" s="302">
        <f t="shared" si="17"/>
        <v>319491.30760379095</v>
      </c>
      <c r="N231" s="308">
        <f>-VLOOKUP(A231,Paramètres!$B$23:$C$322,2,FALSE)*$N$5</f>
        <v>-1100</v>
      </c>
      <c r="O231" s="322"/>
      <c r="P231" s="602">
        <f t="shared" si="18"/>
        <v>-456295.1000596438</v>
      </c>
      <c r="Q231" s="603"/>
      <c r="R231" s="603"/>
      <c r="S231" s="604"/>
      <c r="T231" s="308">
        <f>PCS!D231</f>
        <v>550097.79795447027</v>
      </c>
      <c r="U231" s="303">
        <f>Police!U231</f>
        <v>81911.728045678916</v>
      </c>
      <c r="V231" s="336">
        <f t="shared" si="19"/>
        <v>175714.4259405054</v>
      </c>
      <c r="W231" s="180"/>
      <c r="X231" s="180"/>
      <c r="Y231" s="180"/>
      <c r="Z231" s="15"/>
    </row>
    <row r="232" spans="1:26" x14ac:dyDescent="0.25">
      <c r="A232" s="111">
        <f>Données!A232</f>
        <v>5792</v>
      </c>
      <c r="B232" s="119" t="str">
        <f>Données!B232</f>
        <v>Montpreveyres</v>
      </c>
      <c r="C232" s="307">
        <f>Ressources!H232</f>
        <v>-629919.64527307032</v>
      </c>
      <c r="D232" s="307">
        <f>Ressources!L232</f>
        <v>0</v>
      </c>
      <c r="E232" s="335">
        <f>Ressources!T232</f>
        <v>98731.374279170035</v>
      </c>
      <c r="F232" s="308">
        <f t="shared" si="15"/>
        <v>-531188.27099390025</v>
      </c>
      <c r="G232" s="307">
        <f>'Besoins structurels'!I232</f>
        <v>0</v>
      </c>
      <c r="H232" s="307">
        <f>'Besoins structurels'!N232</f>
        <v>-37327</v>
      </c>
      <c r="I232" s="307">
        <f>'Besoins structurels'!V232</f>
        <v>0</v>
      </c>
      <c r="J232" s="309">
        <f t="shared" si="16"/>
        <v>-37327</v>
      </c>
      <c r="K232" s="307">
        <f>'Charges des villes'!N232</f>
        <v>311090.7886375644</v>
      </c>
      <c r="L232" s="307">
        <f>'Charges des villes'!U232</f>
        <v>67775.009759851426</v>
      </c>
      <c r="M232" s="302">
        <f t="shared" si="17"/>
        <v>378865.79839741584</v>
      </c>
      <c r="N232" s="308">
        <f>-VLOOKUP(A232,Paramètres!$B$23:$C$322,2,FALSE)*$N$5</f>
        <v>-64900</v>
      </c>
      <c r="O232" s="322"/>
      <c r="P232" s="602">
        <f t="shared" si="18"/>
        <v>-254549.47259648441</v>
      </c>
      <c r="Q232" s="603"/>
      <c r="R232" s="603"/>
      <c r="S232" s="604"/>
      <c r="T232" s="308">
        <f>PCS!D232</f>
        <v>652328.36217609746</v>
      </c>
      <c r="U232" s="303">
        <f>Police!U232</f>
        <v>97134.261576291814</v>
      </c>
      <c r="V232" s="336">
        <f t="shared" si="19"/>
        <v>494913.15115590487</v>
      </c>
      <c r="W232" s="180"/>
      <c r="X232" s="180"/>
      <c r="Y232" s="180"/>
      <c r="Z232" s="15"/>
    </row>
    <row r="233" spans="1:26" x14ac:dyDescent="0.25">
      <c r="A233" s="111">
        <f>Données!A233</f>
        <v>5798</v>
      </c>
      <c r="B233" s="119" t="str">
        <f>Données!B233</f>
        <v>Ropraz</v>
      </c>
      <c r="C233" s="307">
        <f>Ressources!H233</f>
        <v>-586229.18566550885</v>
      </c>
      <c r="D233" s="307">
        <f>Ressources!L233</f>
        <v>0</v>
      </c>
      <c r="E233" s="335">
        <f>Ressources!T233</f>
        <v>-68098.267105438863</v>
      </c>
      <c r="F233" s="308">
        <f t="shared" si="15"/>
        <v>-654327.45277094771</v>
      </c>
      <c r="G233" s="307">
        <f>'Besoins structurels'!I233</f>
        <v>-6926</v>
      </c>
      <c r="H233" s="307">
        <f>'Besoins structurels'!N233</f>
        <v>-29070</v>
      </c>
      <c r="I233" s="307">
        <f>'Besoins structurels'!V233</f>
        <v>-47492</v>
      </c>
      <c r="J233" s="309">
        <f t="shared" si="16"/>
        <v>-83488</v>
      </c>
      <c r="K233" s="307">
        <f>'Charges des villes'!N233</f>
        <v>248408.31630014471</v>
      </c>
      <c r="L233" s="307">
        <f>'Charges des villes'!U233</f>
        <v>54118.851076896295</v>
      </c>
      <c r="M233" s="302">
        <f t="shared" si="17"/>
        <v>302527.16737704101</v>
      </c>
      <c r="N233" s="308">
        <f>-VLOOKUP(A233,Paramètres!$B$23:$C$322,2,FALSE)*$N$5</f>
        <v>0</v>
      </c>
      <c r="O233" s="322"/>
      <c r="P233" s="602">
        <f t="shared" si="18"/>
        <v>-435288.2853939067</v>
      </c>
      <c r="Q233" s="603"/>
      <c r="R233" s="603"/>
      <c r="S233" s="604"/>
      <c r="T233" s="308">
        <f>PCS!D233</f>
        <v>520889.06531971961</v>
      </c>
      <c r="U233" s="303">
        <f>Police!U233</f>
        <v>77562.43275121809</v>
      </c>
      <c r="V233" s="336">
        <f t="shared" si="19"/>
        <v>163163.212677031</v>
      </c>
      <c r="W233" s="180"/>
      <c r="X233" s="180"/>
      <c r="Y233" s="180"/>
      <c r="Z233" s="15"/>
    </row>
    <row r="234" spans="1:26" x14ac:dyDescent="0.25">
      <c r="A234" s="111">
        <f>Données!A234</f>
        <v>5799</v>
      </c>
      <c r="B234" s="119" t="str">
        <f>Données!B234</f>
        <v>Servion</v>
      </c>
      <c r="C234" s="307">
        <f>Ressources!H234</f>
        <v>-1842128.4323336545</v>
      </c>
      <c r="D234" s="307">
        <f>Ressources!L234</f>
        <v>0</v>
      </c>
      <c r="E234" s="335">
        <f>Ressources!T234</f>
        <v>-398637.22101549245</v>
      </c>
      <c r="F234" s="308">
        <f t="shared" si="15"/>
        <v>-2240765.6533491472</v>
      </c>
      <c r="G234" s="307">
        <f>'Besoins structurels'!I234</f>
        <v>0</v>
      </c>
      <c r="H234" s="307">
        <f>'Besoins structurels'!N234</f>
        <v>-88054</v>
      </c>
      <c r="I234" s="307">
        <f>'Besoins structurels'!V234</f>
        <v>-120207</v>
      </c>
      <c r="J234" s="309">
        <f t="shared" si="16"/>
        <v>-208261</v>
      </c>
      <c r="K234" s="307">
        <f>'Charges des villes'!N234</f>
        <v>742799.51557861501</v>
      </c>
      <c r="L234" s="307">
        <f>'Charges des villes'!U234</f>
        <v>226692.23413705532</v>
      </c>
      <c r="M234" s="302">
        <f t="shared" si="17"/>
        <v>969491.74971567036</v>
      </c>
      <c r="N234" s="308">
        <f>-VLOOKUP(A234,Paramètres!$B$23:$C$322,2,FALSE)*$N$5</f>
        <v>0</v>
      </c>
      <c r="O234" s="322"/>
      <c r="P234" s="602">
        <f t="shared" si="18"/>
        <v>-1479534.9036334767</v>
      </c>
      <c r="Q234" s="603"/>
      <c r="R234" s="603"/>
      <c r="S234" s="604"/>
      <c r="T234" s="308">
        <f>PCS!D234</f>
        <v>2181892.3278158722</v>
      </c>
      <c r="U234" s="303">
        <f>Police!U234</f>
        <v>355295.84654446365</v>
      </c>
      <c r="V234" s="336">
        <f t="shared" si="19"/>
        <v>1057653.2707268591</v>
      </c>
      <c r="W234" s="180"/>
      <c r="X234" s="180"/>
      <c r="Y234" s="180"/>
      <c r="Z234" s="15"/>
    </row>
    <row r="235" spans="1:26" x14ac:dyDescent="0.25">
      <c r="A235" s="111">
        <f>Données!A235</f>
        <v>5803</v>
      </c>
      <c r="B235" s="119" t="str">
        <f>Données!B235</f>
        <v>Vulliens</v>
      </c>
      <c r="C235" s="307">
        <f>Ressources!H235</f>
        <v>-658133.47267256747</v>
      </c>
      <c r="D235" s="307">
        <f>Ressources!L235</f>
        <v>0</v>
      </c>
      <c r="E235" s="335">
        <f>Ressources!T235</f>
        <v>-109605.35687182518</v>
      </c>
      <c r="F235" s="308">
        <f t="shared" si="15"/>
        <v>-767738.82954439265</v>
      </c>
      <c r="G235" s="307">
        <f>'Besoins structurels'!I235</f>
        <v>-18267</v>
      </c>
      <c r="H235" s="307">
        <f>'Besoins structurels'!N235</f>
        <v>-2539</v>
      </c>
      <c r="I235" s="307">
        <f>'Besoins structurels'!V235</f>
        <v>-26641</v>
      </c>
      <c r="J235" s="309">
        <f t="shared" si="16"/>
        <v>-47447</v>
      </c>
      <c r="K235" s="307">
        <f>'Charges des villes'!N235</f>
        <v>292518.20424129197</v>
      </c>
      <c r="L235" s="307">
        <f>'Charges des villes'!U235</f>
        <v>63728.740520457315</v>
      </c>
      <c r="M235" s="302">
        <f t="shared" si="17"/>
        <v>356246.9447617493</v>
      </c>
      <c r="N235" s="308">
        <f>-VLOOKUP(A235,Paramètres!$B$23:$C$322,2,FALSE)*$N$5</f>
        <v>0</v>
      </c>
      <c r="O235" s="322"/>
      <c r="P235" s="602">
        <f t="shared" si="18"/>
        <v>-458938.88478264335</v>
      </c>
      <c r="Q235" s="603"/>
      <c r="R235" s="603"/>
      <c r="S235" s="604"/>
      <c r="T235" s="308">
        <f>PCS!D235</f>
        <v>613383.38532976329</v>
      </c>
      <c r="U235" s="303">
        <f>Police!U235</f>
        <v>91335.201183677375</v>
      </c>
      <c r="V235" s="336">
        <f t="shared" si="19"/>
        <v>245779.7017307973</v>
      </c>
      <c r="W235" s="180"/>
      <c r="X235" s="180"/>
      <c r="Y235" s="180"/>
      <c r="Z235" s="15"/>
    </row>
    <row r="236" spans="1:26" x14ac:dyDescent="0.25">
      <c r="A236" s="111">
        <f>Données!A236</f>
        <v>5804</v>
      </c>
      <c r="B236" s="119" t="str">
        <f>Données!B236</f>
        <v>Jorat-Menthue</v>
      </c>
      <c r="C236" s="307">
        <f>Ressources!H236</f>
        <v>-1683778.7253330566</v>
      </c>
      <c r="D236" s="307">
        <f>Ressources!L236</f>
        <v>0</v>
      </c>
      <c r="E236" s="335">
        <f>Ressources!T236</f>
        <v>-256506.57199608663</v>
      </c>
      <c r="F236" s="308">
        <f t="shared" si="15"/>
        <v>-1940285.2973291432</v>
      </c>
      <c r="G236" s="307">
        <f>'Besoins structurels'!I236</f>
        <v>-61012</v>
      </c>
      <c r="H236" s="307">
        <f>'Besoins structurels'!N236</f>
        <v>-85519</v>
      </c>
      <c r="I236" s="307">
        <f>'Besoins structurels'!V236</f>
        <v>-52200</v>
      </c>
      <c r="J236" s="309">
        <f t="shared" si="16"/>
        <v>-198731</v>
      </c>
      <c r="K236" s="307">
        <f>'Charges des villes'!N236</f>
        <v>590878.25760938833</v>
      </c>
      <c r="L236" s="307">
        <f>'Charges des villes'!U236</f>
        <v>158209.12726030991</v>
      </c>
      <c r="M236" s="302">
        <f t="shared" si="17"/>
        <v>749087.3848696982</v>
      </c>
      <c r="N236" s="308">
        <f>-VLOOKUP(A236,Paramètres!$B$23:$C$322,2,FALSE)*$N$5</f>
        <v>-113200</v>
      </c>
      <c r="O236" s="322"/>
      <c r="P236" s="602">
        <f t="shared" si="18"/>
        <v>-1503128.912459445</v>
      </c>
      <c r="Q236" s="603"/>
      <c r="R236" s="603"/>
      <c r="S236" s="604"/>
      <c r="T236" s="308">
        <f>PCS!D236</f>
        <v>1522748.5946916663</v>
      </c>
      <c r="U236" s="303">
        <f>Police!U236</f>
        <v>240560.8014472819</v>
      </c>
      <c r="V236" s="336">
        <f t="shared" si="19"/>
        <v>260180.48367950326</v>
      </c>
      <c r="W236" s="180"/>
      <c r="X236" s="180"/>
      <c r="Y236" s="180"/>
      <c r="Z236" s="15"/>
    </row>
    <row r="237" spans="1:26" x14ac:dyDescent="0.25">
      <c r="A237" s="111">
        <f>Données!A237</f>
        <v>5805</v>
      </c>
      <c r="B237" s="119" t="str">
        <f>Données!B237</f>
        <v>Oron</v>
      </c>
      <c r="C237" s="307">
        <f>Ressources!H237</f>
        <v>-8091386.9938069275</v>
      </c>
      <c r="D237" s="307">
        <f>Ressources!L237</f>
        <v>0</v>
      </c>
      <c r="E237" s="335">
        <f>Ressources!T237</f>
        <v>-769791.74987324467</v>
      </c>
      <c r="F237" s="308">
        <f t="shared" si="15"/>
        <v>-8861178.7436801717</v>
      </c>
      <c r="G237" s="307">
        <f>'Besoins structurels'!I237</f>
        <v>0</v>
      </c>
      <c r="H237" s="307">
        <f>'Besoins structurels'!N237</f>
        <v>-34158</v>
      </c>
      <c r="I237" s="307">
        <f>'Besoins structurels'!V237</f>
        <v>-77614</v>
      </c>
      <c r="J237" s="309">
        <f t="shared" si="16"/>
        <v>-111772</v>
      </c>
      <c r="K237" s="307">
        <f>'Charges des villes'!N237</f>
        <v>675620.94712408027</v>
      </c>
      <c r="L237" s="307">
        <f>'Charges des villes'!U237</f>
        <v>652562.07158328593</v>
      </c>
      <c r="M237" s="302">
        <f t="shared" si="17"/>
        <v>1328183.0187073662</v>
      </c>
      <c r="N237" s="308">
        <f>-VLOOKUP(A237,Paramètres!$B$23:$C$322,2,FALSE)*$N$5</f>
        <v>-25500</v>
      </c>
      <c r="O237" s="322"/>
      <c r="P237" s="602">
        <f t="shared" si="18"/>
        <v>-7670267.724972805</v>
      </c>
      <c r="Q237" s="603"/>
      <c r="R237" s="603"/>
      <c r="S237" s="604"/>
      <c r="T237" s="308">
        <f>PCS!D237</f>
        <v>6280851.1408925438</v>
      </c>
      <c r="U237" s="303">
        <f>Police!U237</f>
        <v>1128836.0212711019</v>
      </c>
      <c r="V237" s="336">
        <f t="shared" si="19"/>
        <v>-260580.56280915928</v>
      </c>
      <c r="W237" s="180"/>
      <c r="X237" s="180"/>
      <c r="Y237" s="180"/>
      <c r="Z237" s="15"/>
    </row>
    <row r="238" spans="1:26" x14ac:dyDescent="0.25">
      <c r="A238" s="111">
        <f>Données!A238</f>
        <v>5806</v>
      </c>
      <c r="B238" s="119" t="str">
        <f>Données!B238</f>
        <v>Jorat-Mézières</v>
      </c>
      <c r="C238" s="307">
        <f>Ressources!H238</f>
        <v>-3287134.852568008</v>
      </c>
      <c r="D238" s="307">
        <f>Ressources!L238</f>
        <v>0</v>
      </c>
      <c r="E238" s="335">
        <f>Ressources!T238</f>
        <v>-512953.83216140792</v>
      </c>
      <c r="F238" s="308">
        <f t="shared" si="15"/>
        <v>-3800088.6847294159</v>
      </c>
      <c r="G238" s="307">
        <f>'Besoins structurels'!I238</f>
        <v>0</v>
      </c>
      <c r="H238" s="307">
        <f>'Besoins structurels'!N238</f>
        <v>-61540</v>
      </c>
      <c r="I238" s="307">
        <f>'Besoins structurels'!V238</f>
        <v>0</v>
      </c>
      <c r="J238" s="309">
        <f t="shared" si="16"/>
        <v>-61540</v>
      </c>
      <c r="K238" s="307">
        <f>'Charges des villes'!N238</f>
        <v>898738.30327009107</v>
      </c>
      <c r="L238" s="307">
        <f>'Charges des villes'!U238</f>
        <v>324611.94973039289</v>
      </c>
      <c r="M238" s="302">
        <f t="shared" si="17"/>
        <v>1223350.2530004838</v>
      </c>
      <c r="N238" s="308">
        <f>-VLOOKUP(A238,Paramètres!$B$23:$C$322,2,FALSE)*$N$5</f>
        <v>-136700</v>
      </c>
      <c r="O238" s="322"/>
      <c r="P238" s="602">
        <f t="shared" si="18"/>
        <v>-2774978.4317289321</v>
      </c>
      <c r="Q238" s="603"/>
      <c r="R238" s="603"/>
      <c r="S238" s="604"/>
      <c r="T238" s="308">
        <f>PCS!D238</f>
        <v>3124360.7674971591</v>
      </c>
      <c r="U238" s="303">
        <f>Police!U238</f>
        <v>521908.4834943529</v>
      </c>
      <c r="V238" s="336">
        <f t="shared" si="19"/>
        <v>871290.8192625799</v>
      </c>
      <c r="W238" s="180"/>
      <c r="X238" s="180"/>
      <c r="Y238" s="180"/>
      <c r="Z238" s="15"/>
    </row>
    <row r="239" spans="1:26" x14ac:dyDescent="0.25">
      <c r="A239" s="111">
        <f>Données!A239</f>
        <v>5812</v>
      </c>
      <c r="B239" s="119" t="str">
        <f>Données!B239</f>
        <v>Champtauroz</v>
      </c>
      <c r="C239" s="307">
        <f>Ressources!H239</f>
        <v>-287138.5097680217</v>
      </c>
      <c r="D239" s="307">
        <f>Ressources!L239</f>
        <v>-8070</v>
      </c>
      <c r="E239" s="335">
        <f>Ressources!T239</f>
        <v>-30796.561705421962</v>
      </c>
      <c r="F239" s="308">
        <f t="shared" si="15"/>
        <v>-326005.07147344365</v>
      </c>
      <c r="G239" s="307">
        <f>'Besoins structurels'!I239</f>
        <v>-17201</v>
      </c>
      <c r="H239" s="307">
        <f>'Besoins structurels'!N239</f>
        <v>0</v>
      </c>
      <c r="I239" s="307">
        <f>'Besoins structurels'!V239</f>
        <v>-69691</v>
      </c>
      <c r="J239" s="309">
        <f t="shared" si="16"/>
        <v>-86892</v>
      </c>
      <c r="K239" s="307">
        <f>'Charges des villes'!N239</f>
        <v>85433.888222853522</v>
      </c>
      <c r="L239" s="307">
        <f>'Charges des villes'!U239</f>
        <v>18612.838501212929</v>
      </c>
      <c r="M239" s="302">
        <f t="shared" si="17"/>
        <v>104046.72672406645</v>
      </c>
      <c r="N239" s="308">
        <f>-VLOOKUP(A239,Paramètres!$B$23:$C$322,2,FALSE)*$N$5</f>
        <v>-5200</v>
      </c>
      <c r="O239" s="322"/>
      <c r="P239" s="602">
        <f t="shared" si="18"/>
        <v>-314050.34474937723</v>
      </c>
      <c r="Q239" s="603"/>
      <c r="R239" s="603"/>
      <c r="S239" s="604"/>
      <c r="T239" s="308">
        <f>PCS!D239</f>
        <v>179146.89349313721</v>
      </c>
      <c r="U239" s="303">
        <f>Police!U239</f>
        <v>26675.677806026408</v>
      </c>
      <c r="V239" s="336">
        <f t="shared" si="19"/>
        <v>-108227.77345021362</v>
      </c>
      <c r="W239" s="180"/>
      <c r="X239" s="180"/>
      <c r="Y239" s="180"/>
      <c r="Z239" s="15"/>
    </row>
    <row r="240" spans="1:26" x14ac:dyDescent="0.25">
      <c r="A240" s="111">
        <f>Données!A240</f>
        <v>5813</v>
      </c>
      <c r="B240" s="119" t="str">
        <f>Données!B240</f>
        <v>Chevroux</v>
      </c>
      <c r="C240" s="307">
        <f>Ressources!H240</f>
        <v>-206732.35938005507</v>
      </c>
      <c r="D240" s="307">
        <f>Ressources!L240</f>
        <v>0</v>
      </c>
      <c r="E240" s="335">
        <f>Ressources!T240</f>
        <v>-6872.669486633109</v>
      </c>
      <c r="F240" s="308">
        <f t="shared" si="15"/>
        <v>-213605.0288666882</v>
      </c>
      <c r="G240" s="307">
        <f>'Besoins structurels'!I240</f>
        <v>0</v>
      </c>
      <c r="H240" s="307">
        <f>'Besoins structurels'!N240</f>
        <v>0</v>
      </c>
      <c r="I240" s="307">
        <f>'Besoins structurels'!V240</f>
        <v>-11398</v>
      </c>
      <c r="J240" s="309">
        <f t="shared" si="16"/>
        <v>-11398</v>
      </c>
      <c r="K240" s="307">
        <f>'Charges des villes'!N240</f>
        <v>226121.21502461773</v>
      </c>
      <c r="L240" s="307">
        <f>'Charges des villes'!U240</f>
        <v>49263.327989623358</v>
      </c>
      <c r="M240" s="302">
        <f t="shared" si="17"/>
        <v>275384.54301424109</v>
      </c>
      <c r="N240" s="308">
        <f>-VLOOKUP(A240,Paramètres!$B$23:$C$322,2,FALSE)*$N$5</f>
        <v>0</v>
      </c>
      <c r="O240" s="322"/>
      <c r="P240" s="602">
        <f t="shared" si="18"/>
        <v>50381.514147552894</v>
      </c>
      <c r="Q240" s="603"/>
      <c r="R240" s="603"/>
      <c r="S240" s="604"/>
      <c r="T240" s="308">
        <f>PCS!D240</f>
        <v>474155.0931041186</v>
      </c>
      <c r="U240" s="303">
        <f>Police!U240</f>
        <v>70603.560280080768</v>
      </c>
      <c r="V240" s="336">
        <f t="shared" si="19"/>
        <v>595140.16753175226</v>
      </c>
      <c r="W240" s="180"/>
      <c r="X240" s="180"/>
      <c r="Y240" s="180"/>
      <c r="Z240" s="15"/>
    </row>
    <row r="241" spans="1:26" x14ac:dyDescent="0.25">
      <c r="A241" s="111">
        <f>Données!A241</f>
        <v>5816</v>
      </c>
      <c r="B241" s="119" t="str">
        <f>Données!B241</f>
        <v>Corcelles-près-Payerne</v>
      </c>
      <c r="C241" s="307">
        <f>Ressources!H241</f>
        <v>-4800246.5211962657</v>
      </c>
      <c r="D241" s="307">
        <f>Ressources!L241</f>
        <v>-116572</v>
      </c>
      <c r="E241" s="335">
        <f>Ressources!T241</f>
        <v>-428817.31946339842</v>
      </c>
      <c r="F241" s="308">
        <f t="shared" si="15"/>
        <v>-5345635.840659664</v>
      </c>
      <c r="G241" s="307">
        <f>'Besoins structurels'!I241</f>
        <v>0</v>
      </c>
      <c r="H241" s="307">
        <f>'Besoins structurels'!N241</f>
        <v>0</v>
      </c>
      <c r="I241" s="307">
        <f>'Besoins structurels'!V241</f>
        <v>-40270</v>
      </c>
      <c r="J241" s="309">
        <f t="shared" si="16"/>
        <v>-40270</v>
      </c>
      <c r="K241" s="307">
        <f>'Charges des villes'!N241</f>
        <v>904243.97522927704</v>
      </c>
      <c r="L241" s="307">
        <f>'Charges des villes'!U241</f>
        <v>316519.41125160467</v>
      </c>
      <c r="M241" s="302">
        <f t="shared" si="17"/>
        <v>1220763.3864808818</v>
      </c>
      <c r="N241" s="308">
        <f>-VLOOKUP(A241,Paramètres!$B$23:$C$322,2,FALSE)*$N$5</f>
        <v>0</v>
      </c>
      <c r="O241" s="322"/>
      <c r="P241" s="602">
        <f t="shared" si="18"/>
        <v>-4165142.4541787822</v>
      </c>
      <c r="Q241" s="603"/>
      <c r="R241" s="603"/>
      <c r="S241" s="604"/>
      <c r="T241" s="308">
        <f>PCS!D241</f>
        <v>3046470.813804491</v>
      </c>
      <c r="U241" s="303">
        <f>Police!U241</f>
        <v>507370.46056102659</v>
      </c>
      <c r="V241" s="336">
        <f t="shared" si="19"/>
        <v>-611301.17981326464</v>
      </c>
      <c r="W241" s="180"/>
      <c r="X241" s="180"/>
      <c r="Y241" s="180"/>
      <c r="Z241" s="15"/>
    </row>
    <row r="242" spans="1:26" x14ac:dyDescent="0.25">
      <c r="A242" s="111">
        <f>Données!A242</f>
        <v>5817</v>
      </c>
      <c r="B242" s="119" t="str">
        <f>Données!B242</f>
        <v>Grandcour</v>
      </c>
      <c r="C242" s="307">
        <f>Ressources!H242</f>
        <v>-1331390.9988144166</v>
      </c>
      <c r="D242" s="307">
        <f>Ressources!L242</f>
        <v>0</v>
      </c>
      <c r="E242" s="335">
        <f>Ressources!T242</f>
        <v>-149364.83708836578</v>
      </c>
      <c r="F242" s="308">
        <f t="shared" si="15"/>
        <v>-1480755.8359027824</v>
      </c>
      <c r="G242" s="307">
        <f>'Besoins structurels'!I242</f>
        <v>-29254</v>
      </c>
      <c r="H242" s="307">
        <f>'Besoins structurels'!N242</f>
        <v>0</v>
      </c>
      <c r="I242" s="307">
        <f>'Besoins structurels'!V242</f>
        <v>-78007</v>
      </c>
      <c r="J242" s="309">
        <f t="shared" si="16"/>
        <v>-107261</v>
      </c>
      <c r="K242" s="307">
        <f>'Charges des villes'!N242</f>
        <v>450385.17160960817</v>
      </c>
      <c r="L242" s="307">
        <f>'Charges des villes'!U242</f>
        <v>98122.029055307299</v>
      </c>
      <c r="M242" s="302">
        <f t="shared" si="17"/>
        <v>548507.20066491549</v>
      </c>
      <c r="N242" s="308">
        <f>-VLOOKUP(A242,Paramètres!$B$23:$C$322,2,FALSE)*$N$5</f>
        <v>0</v>
      </c>
      <c r="O242" s="322"/>
      <c r="P242" s="602">
        <f t="shared" si="18"/>
        <v>-1039509.6352378669</v>
      </c>
      <c r="Q242" s="603"/>
      <c r="R242" s="603"/>
      <c r="S242" s="604"/>
      <c r="T242" s="308">
        <f>PCS!D242</f>
        <v>944415.68852360372</v>
      </c>
      <c r="U242" s="303">
        <f>Police!U242</f>
        <v>140627.2145209001</v>
      </c>
      <c r="V242" s="336">
        <f t="shared" si="19"/>
        <v>45533.267806636926</v>
      </c>
      <c r="W242" s="180"/>
      <c r="X242" s="180"/>
      <c r="Y242" s="180"/>
      <c r="Z242" s="15"/>
    </row>
    <row r="243" spans="1:26" x14ac:dyDescent="0.25">
      <c r="A243" s="111">
        <f>Données!A243</f>
        <v>5819</v>
      </c>
      <c r="B243" s="119" t="str">
        <f>Données!B243</f>
        <v>Henniez</v>
      </c>
      <c r="C243" s="307">
        <f>Ressources!H243</f>
        <v>-583393.27477669111</v>
      </c>
      <c r="D243" s="307">
        <f>Ressources!L243</f>
        <v>0</v>
      </c>
      <c r="E243" s="335">
        <f>Ressources!T243</f>
        <v>-105533.43864845538</v>
      </c>
      <c r="F243" s="308">
        <f t="shared" si="15"/>
        <v>-688926.71342514653</v>
      </c>
      <c r="G243" s="307">
        <f>'Besoins structurels'!I243</f>
        <v>0</v>
      </c>
      <c r="H243" s="307">
        <f>'Besoins structurels'!N243</f>
        <v>0</v>
      </c>
      <c r="I243" s="307">
        <f>'Besoins structurels'!V243</f>
        <v>-73807</v>
      </c>
      <c r="J243" s="309">
        <f t="shared" si="16"/>
        <v>-73807</v>
      </c>
      <c r="K243" s="307">
        <f>'Charges des villes'!N243</f>
        <v>215441.978996761</v>
      </c>
      <c r="L243" s="307">
        <f>'Charges des villes'!U243</f>
        <v>46936.72317697174</v>
      </c>
      <c r="M243" s="302">
        <f t="shared" si="17"/>
        <v>262378.70217373274</v>
      </c>
      <c r="N243" s="308">
        <f>-VLOOKUP(A243,Paramètres!$B$23:$C$322,2,FALSE)*$N$5</f>
        <v>0</v>
      </c>
      <c r="O243" s="322"/>
      <c r="P243" s="602">
        <f t="shared" si="18"/>
        <v>-500355.01125141379</v>
      </c>
      <c r="Q243" s="603"/>
      <c r="R243" s="603"/>
      <c r="S243" s="604"/>
      <c r="T243" s="308">
        <f>PCS!D243</f>
        <v>451761.73141747643</v>
      </c>
      <c r="U243" s="303">
        <f>Police!U243</f>
        <v>67269.100554327466</v>
      </c>
      <c r="V243" s="336">
        <f t="shared" si="19"/>
        <v>18675.820720390111</v>
      </c>
      <c r="W243" s="180"/>
      <c r="X243" s="180"/>
      <c r="Y243" s="180"/>
      <c r="Z243" s="15"/>
    </row>
    <row r="244" spans="1:26" x14ac:dyDescent="0.25">
      <c r="A244" s="111">
        <f>Données!A244</f>
        <v>5821</v>
      </c>
      <c r="B244" s="119" t="str">
        <f>Données!B244</f>
        <v>Missy</v>
      </c>
      <c r="C244" s="307">
        <f>Ressources!H244</f>
        <v>-545990.79351534985</v>
      </c>
      <c r="D244" s="307">
        <f>Ressources!L244</f>
        <v>-5260</v>
      </c>
      <c r="E244" s="335">
        <f>Ressources!T244</f>
        <v>-62007.453594320221</v>
      </c>
      <c r="F244" s="308">
        <f t="shared" si="15"/>
        <v>-613258.24710967008</v>
      </c>
      <c r="G244" s="307">
        <f>'Besoins structurels'!I244</f>
        <v>-1197</v>
      </c>
      <c r="H244" s="307">
        <f>'Besoins structurels'!N244</f>
        <v>0</v>
      </c>
      <c r="I244" s="307">
        <f>'Besoins structurels'!V244</f>
        <v>-93753</v>
      </c>
      <c r="J244" s="309">
        <f t="shared" si="16"/>
        <v>-94950</v>
      </c>
      <c r="K244" s="307">
        <f>'Charges des villes'!N244</f>
        <v>175975.23715468196</v>
      </c>
      <c r="L244" s="307">
        <f>'Charges des villes'!U244</f>
        <v>38338.40104325924</v>
      </c>
      <c r="M244" s="302">
        <f t="shared" si="17"/>
        <v>214313.63819794121</v>
      </c>
      <c r="N244" s="308">
        <f>-VLOOKUP(A244,Paramètres!$B$23:$C$322,2,FALSE)*$N$5</f>
        <v>0</v>
      </c>
      <c r="O244" s="322"/>
      <c r="P244" s="602">
        <f t="shared" si="18"/>
        <v>-493894.60891172884</v>
      </c>
      <c r="Q244" s="603"/>
      <c r="R244" s="603"/>
      <c r="S244" s="604"/>
      <c r="T244" s="308">
        <f>PCS!D244</f>
        <v>369003.65561901632</v>
      </c>
      <c r="U244" s="303">
        <f>Police!U244</f>
        <v>54946.097220021795</v>
      </c>
      <c r="V244" s="336">
        <f t="shared" si="19"/>
        <v>-69944.856072690716</v>
      </c>
      <c r="W244" s="180"/>
      <c r="X244" s="180"/>
      <c r="Y244" s="180"/>
      <c r="Z244" s="15"/>
    </row>
    <row r="245" spans="1:26" x14ac:dyDescent="0.25">
      <c r="A245" s="111">
        <f>Données!A245</f>
        <v>5822</v>
      </c>
      <c r="B245" s="119" t="str">
        <f>Données!B245</f>
        <v>Payerne</v>
      </c>
      <c r="C245" s="307">
        <f>Ressources!H245</f>
        <v>-16710123.631572263</v>
      </c>
      <c r="D245" s="307">
        <f>Ressources!L245</f>
        <v>-378220</v>
      </c>
      <c r="E245" s="335">
        <f>Ressources!T245</f>
        <v>-1686557.6602820093</v>
      </c>
      <c r="F245" s="308">
        <f t="shared" si="15"/>
        <v>-18774901.29185427</v>
      </c>
      <c r="G245" s="307">
        <f>'Besoins structurels'!I245</f>
        <v>0</v>
      </c>
      <c r="H245" s="307">
        <f>'Besoins structurels'!N245</f>
        <v>0</v>
      </c>
      <c r="I245" s="307">
        <f>'Besoins structurels'!V245</f>
        <v>0</v>
      </c>
      <c r="J245" s="309">
        <f t="shared" si="16"/>
        <v>0</v>
      </c>
      <c r="K245" s="307">
        <f>'Charges des villes'!N245</f>
        <v>364481.66053058393</v>
      </c>
      <c r="L245" s="307">
        <f>'Charges des villes'!U245</f>
        <v>723557.05236580584</v>
      </c>
      <c r="M245" s="302">
        <f t="shared" si="17"/>
        <v>1088038.7128963899</v>
      </c>
      <c r="N245" s="308">
        <f>-VLOOKUP(A245,Paramètres!$B$23:$C$322,2,FALSE)*$N$5</f>
        <v>0</v>
      </c>
      <c r="O245" s="322"/>
      <c r="P245" s="602">
        <f t="shared" si="18"/>
        <v>-17686862.578957878</v>
      </c>
      <c r="Q245" s="603"/>
      <c r="R245" s="603"/>
      <c r="S245" s="604"/>
      <c r="T245" s="308">
        <f>PCS!D245</f>
        <v>10682607.148949465</v>
      </c>
      <c r="U245" s="303">
        <f>Police!U245</f>
        <v>2005796.4490054823</v>
      </c>
      <c r="V245" s="336">
        <f t="shared" si="19"/>
        <v>-4998458.9810029306</v>
      </c>
      <c r="W245" s="180"/>
      <c r="X245" s="180"/>
      <c r="Y245" s="180"/>
      <c r="Z245" s="15"/>
    </row>
    <row r="246" spans="1:26" x14ac:dyDescent="0.25">
      <c r="A246" s="111">
        <f>Données!A246</f>
        <v>5827</v>
      </c>
      <c r="B246" s="119" t="str">
        <f>Données!B246</f>
        <v>Trey</v>
      </c>
      <c r="C246" s="307">
        <f>Ressources!H246</f>
        <v>-389638.22725736967</v>
      </c>
      <c r="D246" s="307">
        <f>Ressources!L246</f>
        <v>0</v>
      </c>
      <c r="E246" s="335">
        <f>Ressources!T246</f>
        <v>-53409.918723661402</v>
      </c>
      <c r="F246" s="308">
        <f t="shared" si="15"/>
        <v>-443048.14598103106</v>
      </c>
      <c r="G246" s="307">
        <f>'Besoins structurels'!I246</f>
        <v>-14800</v>
      </c>
      <c r="H246" s="307">
        <f>'Besoins structurels'!N246</f>
        <v>0</v>
      </c>
      <c r="I246" s="307">
        <f>'Besoins structurels'!V246</f>
        <v>0</v>
      </c>
      <c r="J246" s="309">
        <f t="shared" si="16"/>
        <v>-14800</v>
      </c>
      <c r="K246" s="307">
        <f>'Charges des villes'!N246</f>
        <v>141615.95602157782</v>
      </c>
      <c r="L246" s="307">
        <f>'Charges des villes'!U246</f>
        <v>30852.80295038013</v>
      </c>
      <c r="M246" s="302">
        <f t="shared" si="17"/>
        <v>172468.75897195796</v>
      </c>
      <c r="N246" s="308">
        <f>-VLOOKUP(A246,Paramètres!$B$23:$C$322,2,FALSE)*$N$5</f>
        <v>-13300</v>
      </c>
      <c r="O246" s="322"/>
      <c r="P246" s="602">
        <f t="shared" si="18"/>
        <v>-298679.38700907311</v>
      </c>
      <c r="Q246" s="603"/>
      <c r="R246" s="603"/>
      <c r="S246" s="604"/>
      <c r="T246" s="308">
        <f>PCS!D246</f>
        <v>296955.44845329807</v>
      </c>
      <c r="U246" s="303">
        <f>Police!U246</f>
        <v>44217.835493685081</v>
      </c>
      <c r="V246" s="336">
        <f t="shared" si="19"/>
        <v>42493.896937910045</v>
      </c>
      <c r="W246" s="180"/>
      <c r="X246" s="180"/>
      <c r="Y246" s="180"/>
      <c r="Z246" s="15"/>
    </row>
    <row r="247" spans="1:26" x14ac:dyDescent="0.25">
      <c r="A247" s="111">
        <f>Données!A247</f>
        <v>5828</v>
      </c>
      <c r="B247" s="119" t="str">
        <f>Données!B247</f>
        <v>Treytorrens (Payerne)</v>
      </c>
      <c r="C247" s="307">
        <f>Ressources!H247</f>
        <v>-107344.23496745035</v>
      </c>
      <c r="D247" s="307">
        <f>Ressources!L247</f>
        <v>0</v>
      </c>
      <c r="E247" s="335">
        <f>Ressources!T247</f>
        <v>-18922.97589231289</v>
      </c>
      <c r="F247" s="308">
        <f t="shared" si="15"/>
        <v>-126267.21085976323</v>
      </c>
      <c r="G247" s="307">
        <f>'Besoins structurels'!I247</f>
        <v>-24250</v>
      </c>
      <c r="H247" s="307">
        <f>'Besoins structurels'!N247</f>
        <v>0</v>
      </c>
      <c r="I247" s="307">
        <f>'Besoins structurels'!V247</f>
        <v>0</v>
      </c>
      <c r="J247" s="309">
        <f t="shared" si="16"/>
        <v>-24250</v>
      </c>
      <c r="K247" s="307">
        <f>'Charges des villes'!N247</f>
        <v>50145.977869935756</v>
      </c>
      <c r="L247" s="307">
        <f>'Charges des villes'!U247</f>
        <v>10924.926946364112</v>
      </c>
      <c r="M247" s="302">
        <f t="shared" si="17"/>
        <v>61070.904816299866</v>
      </c>
      <c r="N247" s="308">
        <f>-VLOOKUP(A247,Paramètres!$B$23:$C$322,2,FALSE)*$N$5</f>
        <v>-10100</v>
      </c>
      <c r="O247" s="322"/>
      <c r="P247" s="602">
        <f t="shared" si="18"/>
        <v>-99546.306043463366</v>
      </c>
      <c r="Q247" s="603"/>
      <c r="R247" s="603"/>
      <c r="S247" s="604"/>
      <c r="T247" s="308">
        <f>PCS!D247</f>
        <v>105151.43748510227</v>
      </c>
      <c r="U247" s="303">
        <f>Police!U247</f>
        <v>15657.463060058979</v>
      </c>
      <c r="V247" s="336">
        <f t="shared" si="19"/>
        <v>21262.594501697888</v>
      </c>
      <c r="W247" s="180"/>
      <c r="X247" s="180"/>
      <c r="Y247" s="180"/>
      <c r="Z247" s="15"/>
    </row>
    <row r="248" spans="1:26" x14ac:dyDescent="0.25">
      <c r="A248" s="111">
        <f>Données!A248</f>
        <v>5830</v>
      </c>
      <c r="B248" s="119" t="str">
        <f>Données!B248</f>
        <v>Villarzel</v>
      </c>
      <c r="C248" s="307">
        <f>Ressources!H248</f>
        <v>-685026.79334910959</v>
      </c>
      <c r="D248" s="307">
        <f>Ressources!L248</f>
        <v>0</v>
      </c>
      <c r="E248" s="335">
        <f>Ressources!T248</f>
        <v>-81559.705979512277</v>
      </c>
      <c r="F248" s="308">
        <f t="shared" si="15"/>
        <v>-766586.4993286219</v>
      </c>
      <c r="G248" s="307">
        <f>'Besoins structurels'!I248</f>
        <v>-39440</v>
      </c>
      <c r="H248" s="307">
        <f>'Besoins structurels'!N248</f>
        <v>-1511</v>
      </c>
      <c r="I248" s="307">
        <f>'Besoins structurels'!V248</f>
        <v>-49925</v>
      </c>
      <c r="J248" s="309">
        <f t="shared" si="16"/>
        <v>-90876</v>
      </c>
      <c r="K248" s="307">
        <f>'Charges des villes'!N248</f>
        <v>242372.22637135617</v>
      </c>
      <c r="L248" s="307">
        <f>'Charges des villes'!U248</f>
        <v>52803.813574093205</v>
      </c>
      <c r="M248" s="302">
        <f t="shared" si="17"/>
        <v>295176.03994544939</v>
      </c>
      <c r="N248" s="308">
        <f>-VLOOKUP(A248,Paramètres!$B$23:$C$322,2,FALSE)*$N$5</f>
        <v>-7700</v>
      </c>
      <c r="O248" s="322"/>
      <c r="P248" s="602">
        <f t="shared" si="18"/>
        <v>-569986.45938317245</v>
      </c>
      <c r="Q248" s="603"/>
      <c r="R248" s="603"/>
      <c r="S248" s="604"/>
      <c r="T248" s="308">
        <f>PCS!D248</f>
        <v>508231.94784466096</v>
      </c>
      <c r="U248" s="303">
        <f>Police!U248</f>
        <v>75677.738123618401</v>
      </c>
      <c r="V248" s="336">
        <f t="shared" si="19"/>
        <v>13923.22658510691</v>
      </c>
      <c r="W248" s="180"/>
      <c r="X248" s="180"/>
      <c r="Y248" s="180"/>
      <c r="Z248" s="15"/>
    </row>
    <row r="249" spans="1:26" x14ac:dyDescent="0.25">
      <c r="A249" s="111">
        <f>Données!A249</f>
        <v>5831</v>
      </c>
      <c r="B249" s="119" t="str">
        <f>Données!B249</f>
        <v>Valbroye</v>
      </c>
      <c r="C249" s="307">
        <f>Ressources!H249</f>
        <v>-4249656.3812897615</v>
      </c>
      <c r="D249" s="307">
        <f>Ressources!L249</f>
        <v>0</v>
      </c>
      <c r="E249" s="335">
        <f>Ressources!T249</f>
        <v>-627049.37470500777</v>
      </c>
      <c r="F249" s="308">
        <f t="shared" si="15"/>
        <v>-4876705.7559947688</v>
      </c>
      <c r="G249" s="307">
        <f>'Besoins structurels'!I249</f>
        <v>-77113</v>
      </c>
      <c r="H249" s="307">
        <f>'Besoins structurels'!N249</f>
        <v>-4923</v>
      </c>
      <c r="I249" s="307">
        <f>'Besoins structurels'!V249</f>
        <v>-92993</v>
      </c>
      <c r="J249" s="309">
        <f t="shared" si="16"/>
        <v>-175029</v>
      </c>
      <c r="K249" s="307">
        <f>'Charges des villes'!N249</f>
        <v>884492.3770756973</v>
      </c>
      <c r="L249" s="307">
        <f>'Charges des villes'!U249</f>
        <v>345551.39304425748</v>
      </c>
      <c r="M249" s="302">
        <f t="shared" si="17"/>
        <v>1230043.7701199548</v>
      </c>
      <c r="N249" s="308">
        <f>-VLOOKUP(A249,Paramètres!$B$23:$C$322,2,FALSE)*$N$5</f>
        <v>-354600</v>
      </c>
      <c r="O249" s="322"/>
      <c r="P249" s="602">
        <f t="shared" si="18"/>
        <v>-4176290.985874814</v>
      </c>
      <c r="Q249" s="603"/>
      <c r="R249" s="603"/>
      <c r="S249" s="604"/>
      <c r="T249" s="308">
        <f>PCS!D249</f>
        <v>3325901.0226769387</v>
      </c>
      <c r="U249" s="303">
        <f>Police!U249</f>
        <v>559525.61783433438</v>
      </c>
      <c r="V249" s="336">
        <f t="shared" si="19"/>
        <v>-290864.34536354092</v>
      </c>
      <c r="W249" s="180"/>
      <c r="X249" s="180"/>
      <c r="Y249" s="180"/>
      <c r="Z249" s="15"/>
    </row>
    <row r="250" spans="1:26" x14ac:dyDescent="0.25">
      <c r="A250" s="111">
        <f>Données!A250</f>
        <v>5841</v>
      </c>
      <c r="B250" s="119" t="str">
        <f>Données!B250</f>
        <v>Château-d'Oex</v>
      </c>
      <c r="C250" s="307">
        <f>Ressources!H250</f>
        <v>-2779555.587494106</v>
      </c>
      <c r="D250" s="307">
        <f>Ressources!L250</f>
        <v>0</v>
      </c>
      <c r="E250" s="335">
        <f>Ressources!T250</f>
        <v>-144461.0033494652</v>
      </c>
      <c r="F250" s="308">
        <f t="shared" si="15"/>
        <v>-2924016.5908435713</v>
      </c>
      <c r="G250" s="307">
        <f>'Besoins structurels'!I250</f>
        <v>-716158</v>
      </c>
      <c r="H250" s="307">
        <f>'Besoins structurels'!N250</f>
        <v>-1525204</v>
      </c>
      <c r="I250" s="307">
        <f>'Besoins structurels'!V250</f>
        <v>0</v>
      </c>
      <c r="J250" s="309">
        <f t="shared" si="16"/>
        <v>-2241362</v>
      </c>
      <c r="K250" s="307">
        <f>'Charges des villes'!N250</f>
        <v>865704.27151497547</v>
      </c>
      <c r="L250" s="307">
        <f>'Charges des villes'!U250</f>
        <v>373167.18060312228</v>
      </c>
      <c r="M250" s="302">
        <f t="shared" si="17"/>
        <v>1238871.4521180978</v>
      </c>
      <c r="N250" s="308">
        <f>-VLOOKUP(A250,Paramètres!$B$23:$C$322,2,FALSE)*$N$5</f>
        <v>-170200</v>
      </c>
      <c r="O250" s="322"/>
      <c r="P250" s="602">
        <f t="shared" si="18"/>
        <v>-4096707.1387254735</v>
      </c>
      <c r="Q250" s="603"/>
      <c r="R250" s="603"/>
      <c r="S250" s="604"/>
      <c r="T250" s="308">
        <f>PCS!D250</f>
        <v>3591700.4896531692</v>
      </c>
      <c r="U250" s="303">
        <f>Police!U250</f>
        <v>609136.62109430996</v>
      </c>
      <c r="V250" s="336">
        <f t="shared" si="19"/>
        <v>104129.97202200559</v>
      </c>
      <c r="W250" s="180"/>
      <c r="X250" s="180"/>
      <c r="Y250" s="180"/>
      <c r="Z250" s="15"/>
    </row>
    <row r="251" spans="1:26" x14ac:dyDescent="0.25">
      <c r="A251" s="111">
        <f>Données!A251</f>
        <v>5842</v>
      </c>
      <c r="B251" s="119" t="str">
        <f>Données!B251</f>
        <v>Rossinière</v>
      </c>
      <c r="C251" s="307">
        <f>Ressources!H251</f>
        <v>-542990.1838885491</v>
      </c>
      <c r="D251" s="307">
        <f>Ressources!L251</f>
        <v>0</v>
      </c>
      <c r="E251" s="335">
        <f>Ressources!T251</f>
        <v>865002.93750253983</v>
      </c>
      <c r="F251" s="308">
        <f t="shared" si="15"/>
        <v>322012.75361399073</v>
      </c>
      <c r="G251" s="307">
        <f>'Besoins structurels'!I251</f>
        <v>-185601</v>
      </c>
      <c r="H251" s="307">
        <f>'Besoins structurels'!N251</f>
        <v>-238821</v>
      </c>
      <c r="I251" s="307">
        <f>'Besoins structurels'!V251</f>
        <v>-44600</v>
      </c>
      <c r="J251" s="309">
        <f t="shared" si="16"/>
        <v>-469022</v>
      </c>
      <c r="K251" s="307">
        <f>'Charges des villes'!N251</f>
        <v>234014.56339303352</v>
      </c>
      <c r="L251" s="307">
        <f>'Charges des villes'!U251</f>
        <v>50982.992416365851</v>
      </c>
      <c r="M251" s="302">
        <f t="shared" si="17"/>
        <v>284997.55580939935</v>
      </c>
      <c r="N251" s="308">
        <f>-VLOOKUP(A251,Paramètres!$B$23:$C$322,2,FALSE)*$N$5</f>
        <v>0</v>
      </c>
      <c r="O251" s="322"/>
      <c r="P251" s="602">
        <f t="shared" si="18"/>
        <v>137988.30942339008</v>
      </c>
      <c r="Q251" s="603"/>
      <c r="R251" s="603"/>
      <c r="S251" s="604"/>
      <c r="T251" s="308">
        <f>PCS!D251</f>
        <v>490706.70826381061</v>
      </c>
      <c r="U251" s="303">
        <f>Police!U251</f>
        <v>73068.160946941905</v>
      </c>
      <c r="V251" s="336">
        <f t="shared" si="19"/>
        <v>701763.17863414262</v>
      </c>
      <c r="W251" s="180"/>
      <c r="X251" s="180"/>
      <c r="Y251" s="180"/>
      <c r="Z251" s="15"/>
    </row>
    <row r="252" spans="1:26" x14ac:dyDescent="0.25">
      <c r="A252" s="111">
        <f>Données!A252</f>
        <v>5843</v>
      </c>
      <c r="B252" s="119" t="str">
        <f>Données!B252</f>
        <v>Rougemont</v>
      </c>
      <c r="C252" s="307">
        <f>Ressources!H252</f>
        <v>2837110.0784860901</v>
      </c>
      <c r="D252" s="307">
        <f>Ressources!L252</f>
        <v>0</v>
      </c>
      <c r="E252" s="335">
        <f>Ressources!T252</f>
        <v>1222976.1006637788</v>
      </c>
      <c r="F252" s="308">
        <f t="shared" si="15"/>
        <v>4060086.1791498689</v>
      </c>
      <c r="G252" s="307">
        <f>'Besoins structurels'!I252</f>
        <v>-371970</v>
      </c>
      <c r="H252" s="307">
        <f>'Besoins structurels'!N252</f>
        <v>-348404</v>
      </c>
      <c r="I252" s="307">
        <f>'Besoins structurels'!V252</f>
        <v>0</v>
      </c>
      <c r="J252" s="309">
        <f t="shared" si="16"/>
        <v>-720374</v>
      </c>
      <c r="K252" s="307">
        <f>'Charges des villes'!N252</f>
        <v>373773.26097498415</v>
      </c>
      <c r="L252" s="307">
        <f>'Charges des villes'!U252</f>
        <v>81431.168442806578</v>
      </c>
      <c r="M252" s="302">
        <f t="shared" si="17"/>
        <v>455204.42941779073</v>
      </c>
      <c r="N252" s="308">
        <f>-VLOOKUP(A252,Paramètres!$B$23:$C$322,2,FALSE)*$N$5</f>
        <v>0</v>
      </c>
      <c r="O252" s="322"/>
      <c r="P252" s="602">
        <f t="shared" si="18"/>
        <v>3794916.6085676597</v>
      </c>
      <c r="Q252" s="603"/>
      <c r="R252" s="603"/>
      <c r="S252" s="604"/>
      <c r="T252" s="308">
        <f>PCS!D252</f>
        <v>783767.65903247532</v>
      </c>
      <c r="U252" s="303">
        <f>Police!U252</f>
        <v>116706.09040136554</v>
      </c>
      <c r="V252" s="336">
        <f t="shared" si="19"/>
        <v>4695390.3580015004</v>
      </c>
      <c r="W252" s="180"/>
      <c r="X252" s="180"/>
      <c r="Y252" s="180"/>
      <c r="Z252" s="15"/>
    </row>
    <row r="253" spans="1:26" x14ac:dyDescent="0.25">
      <c r="A253" s="111">
        <f>Données!A253</f>
        <v>5851</v>
      </c>
      <c r="B253" s="119" t="str">
        <f>Données!B253</f>
        <v>Allaman</v>
      </c>
      <c r="C253" s="307">
        <f>Ressources!H253</f>
        <v>327837.34358422103</v>
      </c>
      <c r="D253" s="307">
        <f>Ressources!L253</f>
        <v>0</v>
      </c>
      <c r="E253" s="335">
        <f>Ressources!T253</f>
        <v>43785.980855250833</v>
      </c>
      <c r="F253" s="308">
        <f t="shared" si="15"/>
        <v>371623.32443947188</v>
      </c>
      <c r="G253" s="307">
        <f>'Besoins structurels'!I253</f>
        <v>0</v>
      </c>
      <c r="H253" s="307">
        <f>'Besoins structurels'!N253</f>
        <v>0</v>
      </c>
      <c r="I253" s="307">
        <f>'Besoins structurels'!V253</f>
        <v>0</v>
      </c>
      <c r="J253" s="309">
        <f t="shared" si="16"/>
        <v>0</v>
      </c>
      <c r="K253" s="307">
        <f>'Charges des villes'!N253</f>
        <v>191297.61928160678</v>
      </c>
      <c r="L253" s="307">
        <f>'Charges des villes'!U253</f>
        <v>41676.573165759386</v>
      </c>
      <c r="M253" s="302">
        <f t="shared" si="17"/>
        <v>232974.19244736616</v>
      </c>
      <c r="N253" s="308">
        <f>-VLOOKUP(A253,Paramètres!$B$23:$C$322,2,FALSE)*$N$5</f>
        <v>0</v>
      </c>
      <c r="O253" s="322"/>
      <c r="P253" s="602">
        <f t="shared" si="18"/>
        <v>604597.51688683801</v>
      </c>
      <c r="Q253" s="603"/>
      <c r="R253" s="603"/>
      <c r="S253" s="604"/>
      <c r="T253" s="308">
        <f>PCS!D253</f>
        <v>401133.261517242</v>
      </c>
      <c r="U253" s="303">
        <f>Police!U253</f>
        <v>59730.322043928696</v>
      </c>
      <c r="V253" s="336">
        <f t="shared" si="19"/>
        <v>1065461.1004480089</v>
      </c>
      <c r="W253" s="180"/>
      <c r="X253" s="180"/>
      <c r="Y253" s="180"/>
      <c r="Z253" s="15"/>
    </row>
    <row r="254" spans="1:26" x14ac:dyDescent="0.25">
      <c r="A254" s="111">
        <f>Données!A254</f>
        <v>5852</v>
      </c>
      <c r="B254" s="119" t="str">
        <f>Données!B254</f>
        <v>Bursinel</v>
      </c>
      <c r="C254" s="307">
        <f>Ressources!H254</f>
        <v>1059221.4433081599</v>
      </c>
      <c r="D254" s="307">
        <f>Ressources!L254</f>
        <v>0</v>
      </c>
      <c r="E254" s="335">
        <f>Ressources!T254</f>
        <v>-23504.977105438855</v>
      </c>
      <c r="F254" s="308">
        <f t="shared" si="15"/>
        <v>1035716.4662027211</v>
      </c>
      <c r="G254" s="307">
        <f>'Besoins structurels'!I254</f>
        <v>0</v>
      </c>
      <c r="H254" s="307">
        <f>'Besoins structurels'!N254</f>
        <v>0</v>
      </c>
      <c r="I254" s="307">
        <f>'Besoins structurels'!V254</f>
        <v>0</v>
      </c>
      <c r="J254" s="309">
        <f t="shared" si="16"/>
        <v>0</v>
      </c>
      <c r="K254" s="307">
        <f>'Charges des villes'!N254</f>
        <v>248408.31630014471</v>
      </c>
      <c r="L254" s="307">
        <f>'Charges des villes'!U254</f>
        <v>54118.851076896295</v>
      </c>
      <c r="M254" s="302">
        <f t="shared" si="17"/>
        <v>302527.16737704101</v>
      </c>
      <c r="N254" s="308">
        <f>-VLOOKUP(A254,Paramètres!$B$23:$C$322,2,FALSE)*$N$5</f>
        <v>0</v>
      </c>
      <c r="O254" s="322"/>
      <c r="P254" s="602">
        <f t="shared" si="18"/>
        <v>1338243.6335797622</v>
      </c>
      <c r="Q254" s="603"/>
      <c r="R254" s="603"/>
      <c r="S254" s="604"/>
      <c r="T254" s="308">
        <f>PCS!D254</f>
        <v>520889.06531971961</v>
      </c>
      <c r="U254" s="303">
        <f>Police!U254</f>
        <v>77562.43275121809</v>
      </c>
      <c r="V254" s="336">
        <f t="shared" si="19"/>
        <v>1936695.1316507</v>
      </c>
      <c r="W254" s="180"/>
      <c r="X254" s="180"/>
      <c r="Y254" s="180"/>
      <c r="Z254" s="15"/>
    </row>
    <row r="255" spans="1:26" x14ac:dyDescent="0.25">
      <c r="A255" s="111">
        <f>Données!A255</f>
        <v>5853</v>
      </c>
      <c r="B255" s="119" t="str">
        <f>Données!B255</f>
        <v>Bursins</v>
      </c>
      <c r="C255" s="307">
        <f>Ressources!H255</f>
        <v>152445.25809265481</v>
      </c>
      <c r="D255" s="307">
        <f>Ressources!L255</f>
        <v>0</v>
      </c>
      <c r="E255" s="335">
        <f>Ressources!T255</f>
        <v>17890.868411925825</v>
      </c>
      <c r="F255" s="308">
        <f t="shared" si="15"/>
        <v>170336.12650458064</v>
      </c>
      <c r="G255" s="307">
        <f>'Besoins structurels'!I255</f>
        <v>0</v>
      </c>
      <c r="H255" s="307">
        <f>'Besoins structurels'!N255</f>
        <v>0</v>
      </c>
      <c r="I255" s="307">
        <f>'Besoins structurels'!V255</f>
        <v>-3075</v>
      </c>
      <c r="J255" s="309">
        <f t="shared" si="16"/>
        <v>-3075</v>
      </c>
      <c r="K255" s="307">
        <f>'Charges des villes'!N255</f>
        <v>385845.44083256123</v>
      </c>
      <c r="L255" s="307">
        <f>'Charges des villes'!U255</f>
        <v>84061.243448412744</v>
      </c>
      <c r="M255" s="302">
        <f t="shared" si="17"/>
        <v>469906.68428097398</v>
      </c>
      <c r="N255" s="308">
        <f>-VLOOKUP(A255,Paramètres!$B$23:$C$322,2,FALSE)*$N$5</f>
        <v>0</v>
      </c>
      <c r="O255" s="322"/>
      <c r="P255" s="602">
        <f t="shared" si="18"/>
        <v>637167.81078555458</v>
      </c>
      <c r="Q255" s="603"/>
      <c r="R255" s="603"/>
      <c r="S255" s="604"/>
      <c r="T255" s="308">
        <f>PCS!D255</f>
        <v>809081.8939825925</v>
      </c>
      <c r="U255" s="303">
        <f>Police!U255</f>
        <v>120475.47965656492</v>
      </c>
      <c r="V255" s="336">
        <f t="shared" si="19"/>
        <v>1566725.1844247121</v>
      </c>
      <c r="W255" s="180"/>
      <c r="X255" s="180"/>
      <c r="Y255" s="180"/>
      <c r="Z255" s="15"/>
    </row>
    <row r="256" spans="1:26" x14ac:dyDescent="0.25">
      <c r="A256" s="111">
        <f>Données!A256</f>
        <v>5854</v>
      </c>
      <c r="B256" s="119" t="str">
        <f>Données!B256</f>
        <v>Burtigny</v>
      </c>
      <c r="C256" s="307">
        <f>Ressources!H256</f>
        <v>-301147.96361597237</v>
      </c>
      <c r="D256" s="307">
        <f>Ressources!L256</f>
        <v>0</v>
      </c>
      <c r="E256" s="335">
        <f>Ressources!T256</f>
        <v>-58079.326317398452</v>
      </c>
      <c r="F256" s="308">
        <f t="shared" si="15"/>
        <v>-359227.28993337083</v>
      </c>
      <c r="G256" s="307">
        <f>'Besoins structurels'!I256</f>
        <v>-26719</v>
      </c>
      <c r="H256" s="307">
        <f>'Besoins structurels'!N256</f>
        <v>-10788</v>
      </c>
      <c r="I256" s="307">
        <f>'Besoins structurels'!V256</f>
        <v>0</v>
      </c>
      <c r="J256" s="309">
        <f t="shared" si="16"/>
        <v>-37507</v>
      </c>
      <c r="K256" s="307">
        <f>'Charges des villes'!N256</f>
        <v>188511.73162216588</v>
      </c>
      <c r="L256" s="307">
        <f>'Charges des villes'!U256</f>
        <v>41069.632779850268</v>
      </c>
      <c r="M256" s="302">
        <f t="shared" si="17"/>
        <v>229581.36440201616</v>
      </c>
      <c r="N256" s="308">
        <f>-VLOOKUP(A256,Paramètres!$B$23:$C$322,2,FALSE)*$N$5</f>
        <v>0</v>
      </c>
      <c r="O256" s="322"/>
      <c r="P256" s="602">
        <f t="shared" si="18"/>
        <v>-167152.92553135467</v>
      </c>
      <c r="Q256" s="603"/>
      <c r="R256" s="603"/>
      <c r="S256" s="604"/>
      <c r="T256" s="308">
        <f>PCS!D256</f>
        <v>395291.51499029191</v>
      </c>
      <c r="U256" s="303">
        <f>Police!U256</f>
        <v>58860.462985036531</v>
      </c>
      <c r="V256" s="336">
        <f t="shared" si="19"/>
        <v>286999.05244397378</v>
      </c>
      <c r="W256" s="180"/>
      <c r="X256" s="180"/>
      <c r="Y256" s="180"/>
      <c r="Z256" s="15"/>
    </row>
    <row r="257" spans="1:26" x14ac:dyDescent="0.25">
      <c r="A257" s="111">
        <f>Données!A257</f>
        <v>5855</v>
      </c>
      <c r="B257" s="119" t="str">
        <f>Données!B257</f>
        <v>Dully</v>
      </c>
      <c r="C257" s="307">
        <f>Ressources!H257</f>
        <v>3912434.5888199531</v>
      </c>
      <c r="D257" s="307">
        <f>Ressources!L257</f>
        <v>0</v>
      </c>
      <c r="E257" s="335">
        <f>Ressources!T257</f>
        <v>75848.839829598961</v>
      </c>
      <c r="F257" s="308">
        <f t="shared" si="15"/>
        <v>3988283.4286495522</v>
      </c>
      <c r="G257" s="307">
        <f>'Besoins structurels'!I257</f>
        <v>0</v>
      </c>
      <c r="H257" s="307">
        <f>'Besoins structurels'!N257</f>
        <v>0</v>
      </c>
      <c r="I257" s="307">
        <f>'Besoins structurels'!V257</f>
        <v>0</v>
      </c>
      <c r="J257" s="309">
        <f t="shared" si="16"/>
        <v>0</v>
      </c>
      <c r="K257" s="307">
        <f>'Charges des villes'!N257</f>
        <v>295768.40651063959</v>
      </c>
      <c r="L257" s="307">
        <f>'Charges des villes'!U257</f>
        <v>64436.837637351287</v>
      </c>
      <c r="M257" s="302">
        <f t="shared" si="17"/>
        <v>360205.24414799089</v>
      </c>
      <c r="N257" s="308">
        <f>-VLOOKUP(A257,Paramètres!$B$23:$C$322,2,FALSE)*$N$5</f>
        <v>0</v>
      </c>
      <c r="O257" s="322"/>
      <c r="P257" s="602">
        <f t="shared" si="18"/>
        <v>4348488.672797543</v>
      </c>
      <c r="Q257" s="603"/>
      <c r="R257" s="603"/>
      <c r="S257" s="604"/>
      <c r="T257" s="308">
        <f>PCS!D257</f>
        <v>620198.75627787178</v>
      </c>
      <c r="U257" s="303">
        <f>Police!U257</f>
        <v>92350.036752384898</v>
      </c>
      <c r="V257" s="336">
        <f t="shared" si="19"/>
        <v>5061037.4658277994</v>
      </c>
      <c r="W257" s="180"/>
      <c r="X257" s="180"/>
      <c r="Y257" s="180"/>
      <c r="Z257" s="15"/>
    </row>
    <row r="258" spans="1:26" x14ac:dyDescent="0.25">
      <c r="A258" s="111">
        <f>Données!A258</f>
        <v>5856</v>
      </c>
      <c r="B258" s="119" t="str">
        <f>Données!B258</f>
        <v>Essertines-sur-Rolle</v>
      </c>
      <c r="C258" s="307">
        <f>Ressources!H258</f>
        <v>148091.30362804906</v>
      </c>
      <c r="D258" s="307">
        <f>Ressources!L258</f>
        <v>0</v>
      </c>
      <c r="E258" s="335">
        <f>Ressources!T258</f>
        <v>-136802.25284334191</v>
      </c>
      <c r="F258" s="308">
        <f t="shared" si="15"/>
        <v>11289.050784707157</v>
      </c>
      <c r="G258" s="307">
        <f>'Besoins structurels'!I258</f>
        <v>-11865</v>
      </c>
      <c r="H258" s="307">
        <f>'Besoins structurels'!N258</f>
        <v>-5788</v>
      </c>
      <c r="I258" s="307">
        <f>'Besoins structurels'!V258</f>
        <v>-71137</v>
      </c>
      <c r="J258" s="309">
        <f t="shared" si="16"/>
        <v>-88790</v>
      </c>
      <c r="K258" s="307">
        <f>'Charges des villes'!N258</f>
        <v>357522.24962824571</v>
      </c>
      <c r="L258" s="307">
        <f>'Charges des villes'!U258</f>
        <v>77890.682858336717</v>
      </c>
      <c r="M258" s="302">
        <f t="shared" si="17"/>
        <v>435412.93248658243</v>
      </c>
      <c r="N258" s="308">
        <f>-VLOOKUP(A258,Paramètres!$B$23:$C$322,2,FALSE)*$N$5</f>
        <v>0</v>
      </c>
      <c r="O258" s="322"/>
      <c r="P258" s="602">
        <f t="shared" si="18"/>
        <v>357911.98327128962</v>
      </c>
      <c r="Q258" s="603"/>
      <c r="R258" s="603"/>
      <c r="S258" s="604"/>
      <c r="T258" s="308">
        <f>PCS!D258</f>
        <v>749690.80429193284</v>
      </c>
      <c r="U258" s="303">
        <f>Police!U258</f>
        <v>111631.91255782792</v>
      </c>
      <c r="V258" s="336">
        <f t="shared" si="19"/>
        <v>1219234.7001210505</v>
      </c>
      <c r="W258" s="180"/>
      <c r="X258" s="180"/>
      <c r="Y258" s="180"/>
      <c r="Z258" s="15"/>
    </row>
    <row r="259" spans="1:26" x14ac:dyDescent="0.25">
      <c r="A259" s="111">
        <f>Données!A259</f>
        <v>5857</v>
      </c>
      <c r="B259" s="119" t="str">
        <f>Données!B259</f>
        <v>Gilly</v>
      </c>
      <c r="C259" s="307">
        <f>Ressources!H259</f>
        <v>1270700.439979759</v>
      </c>
      <c r="D259" s="307">
        <f>Ressources!L259</f>
        <v>0</v>
      </c>
      <c r="E259" s="335">
        <f>Ressources!T259</f>
        <v>-94266.493380695523</v>
      </c>
      <c r="F259" s="308">
        <f t="shared" si="15"/>
        <v>1176433.9465990635</v>
      </c>
      <c r="G259" s="307">
        <f>'Besoins structurels'!I259</f>
        <v>0</v>
      </c>
      <c r="H259" s="307">
        <f>'Besoins structurels'!N259</f>
        <v>-1872</v>
      </c>
      <c r="I259" s="307">
        <f>'Besoins structurels'!V259</f>
        <v>0</v>
      </c>
      <c r="J259" s="309">
        <f t="shared" si="16"/>
        <v>-1872</v>
      </c>
      <c r="K259" s="307">
        <f>'Charges des villes'!N259</f>
        <v>560583.76746781438</v>
      </c>
      <c r="L259" s="307">
        <f>'Charges des villes'!U259</f>
        <v>144552.96857735477</v>
      </c>
      <c r="M259" s="302">
        <f t="shared" si="17"/>
        <v>705136.73604516918</v>
      </c>
      <c r="N259" s="308">
        <f>-VLOOKUP(A259,Paramètres!$B$23:$C$322,2,FALSE)*$N$5</f>
        <v>0</v>
      </c>
      <c r="O259" s="322"/>
      <c r="P259" s="602">
        <f t="shared" si="18"/>
        <v>1879698.6826442326</v>
      </c>
      <c r="Q259" s="603"/>
      <c r="R259" s="603"/>
      <c r="S259" s="604"/>
      <c r="T259" s="308">
        <f>PCS!D259</f>
        <v>1391309.2978352883</v>
      </c>
      <c r="U259" s="303">
        <f>Police!U259</f>
        <v>217681.58270559867</v>
      </c>
      <c r="V259" s="336">
        <f t="shared" si="19"/>
        <v>3488689.5631851195</v>
      </c>
      <c r="W259" s="180"/>
      <c r="X259" s="180"/>
      <c r="Y259" s="180"/>
      <c r="Z259" s="15"/>
    </row>
    <row r="260" spans="1:26" x14ac:dyDescent="0.25">
      <c r="A260" s="111">
        <f>Données!A260</f>
        <v>5858</v>
      </c>
      <c r="B260" s="119" t="str">
        <f>Données!B260</f>
        <v>Luins</v>
      </c>
      <c r="C260" s="307">
        <f>Ressources!H260</f>
        <v>211031.4684407406</v>
      </c>
      <c r="D260" s="307">
        <f>Ressources!L260</f>
        <v>0</v>
      </c>
      <c r="E260" s="335">
        <f>Ressources!T260</f>
        <v>72970.423415923608</v>
      </c>
      <c r="F260" s="308">
        <f t="shared" si="15"/>
        <v>284001.89185666421</v>
      </c>
      <c r="G260" s="307">
        <f>'Besoins structurels'!I260</f>
        <v>0</v>
      </c>
      <c r="H260" s="307">
        <f>'Besoins structurels'!N260</f>
        <v>0</v>
      </c>
      <c r="I260" s="307">
        <f>'Besoins structurels'!V260</f>
        <v>-9956</v>
      </c>
      <c r="J260" s="309">
        <f t="shared" si="16"/>
        <v>-9956</v>
      </c>
      <c r="K260" s="307">
        <f>'Charges des villes'!N260</f>
        <v>297161.35034036008</v>
      </c>
      <c r="L260" s="307">
        <f>'Charges des villes'!U260</f>
        <v>64740.307830305843</v>
      </c>
      <c r="M260" s="302">
        <f t="shared" si="17"/>
        <v>361901.65817066591</v>
      </c>
      <c r="N260" s="308">
        <f>-VLOOKUP(A260,Paramètres!$B$23:$C$322,2,FALSE)*$N$5</f>
        <v>0</v>
      </c>
      <c r="O260" s="322"/>
      <c r="P260" s="602">
        <f t="shared" si="18"/>
        <v>635947.55002733017</v>
      </c>
      <c r="Q260" s="603"/>
      <c r="R260" s="603"/>
      <c r="S260" s="604"/>
      <c r="T260" s="308">
        <f>PCS!D260</f>
        <v>623119.6295413468</v>
      </c>
      <c r="U260" s="303">
        <f>Police!U260</f>
        <v>92784.966281830988</v>
      </c>
      <c r="V260" s="336">
        <f t="shared" si="19"/>
        <v>1351852.145850508</v>
      </c>
      <c r="W260" s="180"/>
      <c r="X260" s="180"/>
      <c r="Y260" s="180"/>
      <c r="Z260" s="15"/>
    </row>
    <row r="261" spans="1:26" x14ac:dyDescent="0.25">
      <c r="A261" s="111">
        <f>Données!A261</f>
        <v>5859</v>
      </c>
      <c r="B261" s="119" t="str">
        <f>Données!B261</f>
        <v>Mont-sur-Rolle</v>
      </c>
      <c r="C261" s="307">
        <f>Ressources!H261</f>
        <v>2390206.7869544402</v>
      </c>
      <c r="D261" s="307">
        <f>Ressources!L261</f>
        <v>0</v>
      </c>
      <c r="E261" s="335">
        <f>Ressources!T261</f>
        <v>-72488.155110104359</v>
      </c>
      <c r="F261" s="308">
        <f t="shared" si="15"/>
        <v>2317718.6318443357</v>
      </c>
      <c r="G261" s="307">
        <f>'Besoins structurels'!I261</f>
        <v>0</v>
      </c>
      <c r="H261" s="307">
        <f>'Besoins structurels'!N261</f>
        <v>-661</v>
      </c>
      <c r="I261" s="307">
        <f>'Besoins structurels'!V261</f>
        <v>0</v>
      </c>
      <c r="J261" s="309">
        <f t="shared" si="16"/>
        <v>-661</v>
      </c>
      <c r="K261" s="307">
        <f>'Charges des villes'!N261</f>
        <v>859040.59626998776</v>
      </c>
      <c r="L261" s="307">
        <f>'Charges des villes'!U261</f>
        <v>279091.42078720912</v>
      </c>
      <c r="M261" s="302">
        <f t="shared" si="17"/>
        <v>1138132.0170571969</v>
      </c>
      <c r="N261" s="308">
        <f>-VLOOKUP(A261,Paramètres!$B$23:$C$322,2,FALSE)*$N$5</f>
        <v>0</v>
      </c>
      <c r="O261" s="322"/>
      <c r="P261" s="602">
        <f t="shared" si="18"/>
        <v>3455189.6489015324</v>
      </c>
      <c r="Q261" s="603"/>
      <c r="R261" s="603"/>
      <c r="S261" s="604"/>
      <c r="T261" s="308">
        <f>PCS!D261</f>
        <v>2686229.7779758996</v>
      </c>
      <c r="U261" s="303">
        <f>Police!U261</f>
        <v>443084.25623477402</v>
      </c>
      <c r="V261" s="336">
        <f t="shared" si="19"/>
        <v>6584503.6831122059</v>
      </c>
      <c r="W261" s="180"/>
      <c r="X261" s="180"/>
      <c r="Y261" s="180"/>
      <c r="Z261" s="15"/>
    </row>
    <row r="262" spans="1:26" x14ac:dyDescent="0.25">
      <c r="A262" s="111">
        <f>Données!A262</f>
        <v>5860</v>
      </c>
      <c r="B262" s="119" t="str">
        <f>Données!B262</f>
        <v>Perroy</v>
      </c>
      <c r="C262" s="307">
        <f>Ressources!H262</f>
        <v>1978191.2343236583</v>
      </c>
      <c r="D262" s="307">
        <f>Ressources!L262</f>
        <v>0</v>
      </c>
      <c r="E262" s="335">
        <f>Ressources!T262</f>
        <v>-163686.44123711268</v>
      </c>
      <c r="F262" s="308">
        <f t="shared" si="15"/>
        <v>1814504.7930865455</v>
      </c>
      <c r="G262" s="307">
        <f>'Besoins structurels'!I262</f>
        <v>0</v>
      </c>
      <c r="H262" s="307">
        <f>'Besoins structurels'!N262</f>
        <v>0</v>
      </c>
      <c r="I262" s="307">
        <f>'Besoins structurels'!V262</f>
        <v>0</v>
      </c>
      <c r="J262" s="309">
        <f t="shared" si="16"/>
        <v>0</v>
      </c>
      <c r="K262" s="307">
        <f>'Charges des villes'!N262</f>
        <v>592897.89028549334</v>
      </c>
      <c r="L262" s="307">
        <f>'Charges des villes'!U262</f>
        <v>159119.5378391736</v>
      </c>
      <c r="M262" s="302">
        <f t="shared" si="17"/>
        <v>752017.42812466691</v>
      </c>
      <c r="N262" s="308">
        <f>-VLOOKUP(A262,Paramètres!$B$23:$C$322,2,FALSE)*$N$5</f>
        <v>0</v>
      </c>
      <c r="O262" s="322"/>
      <c r="P262" s="602">
        <f t="shared" si="18"/>
        <v>2566522.2212112127</v>
      </c>
      <c r="Q262" s="603"/>
      <c r="R262" s="603"/>
      <c r="S262" s="604"/>
      <c r="T262" s="308">
        <f>PCS!D262</f>
        <v>1531511.2144820914</v>
      </c>
      <c r="U262" s="303">
        <f>Police!U262</f>
        <v>242086.08269672745</v>
      </c>
      <c r="V262" s="336">
        <f t="shared" si="19"/>
        <v>4340119.5183900315</v>
      </c>
      <c r="W262" s="180"/>
      <c r="X262" s="180"/>
      <c r="Y262" s="180"/>
      <c r="Z262" s="15"/>
    </row>
    <row r="263" spans="1:26" x14ac:dyDescent="0.25">
      <c r="A263" s="111">
        <f>Données!A263</f>
        <v>5861</v>
      </c>
      <c r="B263" s="119" t="str">
        <f>Données!B263</f>
        <v>Rolle</v>
      </c>
      <c r="C263" s="307">
        <f>Ressources!H263</f>
        <v>38177574.064345263</v>
      </c>
      <c r="D263" s="307">
        <f>Ressources!L263</f>
        <v>0</v>
      </c>
      <c r="E263" s="335">
        <f>Ressources!T263</f>
        <v>-100727.48697068822</v>
      </c>
      <c r="F263" s="308">
        <f t="shared" si="15"/>
        <v>38076846.577374578</v>
      </c>
      <c r="G263" s="307">
        <f>'Besoins structurels'!I263</f>
        <v>0</v>
      </c>
      <c r="H263" s="307">
        <f>'Besoins structurels'!N263</f>
        <v>0</v>
      </c>
      <c r="I263" s="307">
        <f>'Besoins structurels'!V263</f>
        <v>0</v>
      </c>
      <c r="J263" s="309">
        <f t="shared" si="16"/>
        <v>0</v>
      </c>
      <c r="K263" s="307">
        <f>'Charges des villes'!N263</f>
        <v>665091.34950213647</v>
      </c>
      <c r="L263" s="307">
        <f>'Charges des villes'!U263</f>
        <v>440616.19142396841</v>
      </c>
      <c r="M263" s="302">
        <f t="shared" si="17"/>
        <v>1105707.5409261049</v>
      </c>
      <c r="N263" s="308">
        <f>-VLOOKUP(A263,Paramètres!$B$23:$C$322,2,FALSE)*$N$5</f>
        <v>0</v>
      </c>
      <c r="O263" s="322"/>
      <c r="P263" s="602">
        <f t="shared" si="18"/>
        <v>39182554.118300684</v>
      </c>
      <c r="Q263" s="603"/>
      <c r="R263" s="603"/>
      <c r="S263" s="604"/>
      <c r="T263" s="308">
        <f>PCS!D263</f>
        <v>6429815.6773297722</v>
      </c>
      <c r="U263" s="303">
        <f>Police!U263</f>
        <v>1158514.1777505004</v>
      </c>
      <c r="V263" s="336">
        <f t="shared" si="19"/>
        <v>46770883.973380953</v>
      </c>
      <c r="W263" s="180"/>
      <c r="X263" s="180"/>
      <c r="Y263" s="180"/>
      <c r="Z263" s="15"/>
    </row>
    <row r="264" spans="1:26" x14ac:dyDescent="0.25">
      <c r="A264" s="111">
        <f>Données!A264</f>
        <v>5862</v>
      </c>
      <c r="B264" s="119" t="str">
        <f>Données!B264</f>
        <v>Tartegnin</v>
      </c>
      <c r="C264" s="307">
        <f>Ressources!H264</f>
        <v>-89360.679398399472</v>
      </c>
      <c r="D264" s="307">
        <f>Ressources!L264</f>
        <v>0</v>
      </c>
      <c r="E264" s="335">
        <f>Ressources!T264</f>
        <v>-45482.440921379355</v>
      </c>
      <c r="F264" s="308">
        <f t="shared" si="15"/>
        <v>-134843.12031977883</v>
      </c>
      <c r="G264" s="307">
        <f>'Besoins structurels'!I264</f>
        <v>0</v>
      </c>
      <c r="H264" s="307">
        <f>'Besoins structurels'!N264</f>
        <v>0</v>
      </c>
      <c r="I264" s="307">
        <f>'Besoins structurels'!V264</f>
        <v>0</v>
      </c>
      <c r="J264" s="309">
        <f t="shared" si="16"/>
        <v>0</v>
      </c>
      <c r="K264" s="307">
        <f>'Charges des villes'!N264</f>
        <v>114221.39403707589</v>
      </c>
      <c r="L264" s="307">
        <f>'Charges des villes'!U264</f>
        <v>24884.555822273811</v>
      </c>
      <c r="M264" s="302">
        <f t="shared" si="17"/>
        <v>139105.9498593497</v>
      </c>
      <c r="N264" s="308">
        <f>-VLOOKUP(A264,Paramètres!$B$23:$C$322,2,FALSE)*$N$5</f>
        <v>0</v>
      </c>
      <c r="O264" s="322"/>
      <c r="P264" s="602">
        <f t="shared" si="18"/>
        <v>4262.8295395708701</v>
      </c>
      <c r="Q264" s="603"/>
      <c r="R264" s="603"/>
      <c r="S264" s="604"/>
      <c r="T264" s="308">
        <f>PCS!D264</f>
        <v>239511.60760495518</v>
      </c>
      <c r="U264" s="303">
        <f>Police!U264</f>
        <v>35664.221414578788</v>
      </c>
      <c r="V264" s="336">
        <f t="shared" si="19"/>
        <v>279438.65855910484</v>
      </c>
      <c r="W264" s="180"/>
      <c r="X264" s="180"/>
      <c r="Y264" s="180"/>
      <c r="Z264" s="15"/>
    </row>
    <row r="265" spans="1:26" x14ac:dyDescent="0.25">
      <c r="A265" s="111">
        <f>Données!A265</f>
        <v>5863</v>
      </c>
      <c r="B265" s="119" t="str">
        <f>Données!B265</f>
        <v>Vinzel</v>
      </c>
      <c r="C265" s="307">
        <f>Ressources!H265</f>
        <v>121608.32258376808</v>
      </c>
      <c r="D265" s="307">
        <f>Ressources!L265</f>
        <v>0</v>
      </c>
      <c r="E265" s="335">
        <f>Ressources!T265</f>
        <v>-41309.616421670944</v>
      </c>
      <c r="F265" s="308">
        <f t="shared" ref="F265:F307" si="20">SUM(C265:E265)</f>
        <v>80298.706162097136</v>
      </c>
      <c r="G265" s="307">
        <f>'Besoins structurels'!I265</f>
        <v>0</v>
      </c>
      <c r="H265" s="307">
        <f>'Besoins structurels'!N265</f>
        <v>0</v>
      </c>
      <c r="I265" s="307">
        <f>'Besoins structurels'!V265</f>
        <v>0</v>
      </c>
      <c r="J265" s="309">
        <f t="shared" ref="J265:J307" si="21">SUM(G265:I265)</f>
        <v>0</v>
      </c>
      <c r="K265" s="307">
        <f>'Charges des villes'!N265</f>
        <v>178761.12481412286</v>
      </c>
      <c r="L265" s="307">
        <f>'Charges des villes'!U265</f>
        <v>38945.341429168358</v>
      </c>
      <c r="M265" s="302">
        <f t="shared" ref="M265:M307" si="22">SUM(K265:L265)</f>
        <v>217706.46624329122</v>
      </c>
      <c r="N265" s="308">
        <f>-VLOOKUP(A265,Paramètres!$B$23:$C$322,2,FALSE)*$N$5</f>
        <v>0</v>
      </c>
      <c r="O265" s="322"/>
      <c r="P265" s="602">
        <f t="shared" ref="P265:P307" si="23">F265+J265+M265+N265</f>
        <v>298005.17240538832</v>
      </c>
      <c r="Q265" s="603"/>
      <c r="R265" s="603"/>
      <c r="S265" s="604"/>
      <c r="T265" s="308">
        <f>PCS!D265</f>
        <v>374845.40214596642</v>
      </c>
      <c r="U265" s="303">
        <f>Police!U265</f>
        <v>55815.95627891396</v>
      </c>
      <c r="V265" s="336">
        <f t="shared" ref="V265:V307" si="24">P265+T265+U265</f>
        <v>728666.53083026875</v>
      </c>
      <c r="W265" s="180"/>
      <c r="X265" s="180"/>
      <c r="Y265" s="180"/>
      <c r="Z265" s="15"/>
    </row>
    <row r="266" spans="1:26" x14ac:dyDescent="0.25">
      <c r="A266" s="111">
        <f>Données!A266</f>
        <v>5871</v>
      </c>
      <c r="B266" s="119" t="str">
        <f>Données!B266</f>
        <v>L'Abbaye</v>
      </c>
      <c r="C266" s="307">
        <f>Ressources!H266</f>
        <v>-1624111.614281052</v>
      </c>
      <c r="D266" s="307">
        <f>Ressources!L266</f>
        <v>0</v>
      </c>
      <c r="E266" s="335">
        <f>Ressources!T266</f>
        <v>-55794.668488965777</v>
      </c>
      <c r="F266" s="308">
        <f t="shared" si="20"/>
        <v>-1679906.2827700179</v>
      </c>
      <c r="G266" s="307">
        <f>'Besoins structurels'!I266</f>
        <v>-204984</v>
      </c>
      <c r="H266" s="307">
        <f>'Besoins structurels'!N266</f>
        <v>-191297</v>
      </c>
      <c r="I266" s="307">
        <f>'Besoins structurels'!V266</f>
        <v>0</v>
      </c>
      <c r="J266" s="309">
        <f t="shared" si="21"/>
        <v>-396281</v>
      </c>
      <c r="K266" s="307">
        <f>'Charges des villes'!N266</f>
        <v>598732.38468312973</v>
      </c>
      <c r="L266" s="307">
        <f>'Charges des villes'!U266</f>
        <v>161749.61284477977</v>
      </c>
      <c r="M266" s="302">
        <f t="shared" si="22"/>
        <v>760481.99752790947</v>
      </c>
      <c r="N266" s="308">
        <f>-VLOOKUP(A266,Paramètres!$B$23:$C$322,2,FALSE)*$N$5</f>
        <v>0</v>
      </c>
      <c r="O266" s="322"/>
      <c r="P266" s="602">
        <f t="shared" si="23"/>
        <v>-1315705.2852421084</v>
      </c>
      <c r="Q266" s="603"/>
      <c r="R266" s="603"/>
      <c r="S266" s="604"/>
      <c r="T266" s="308">
        <f>PCS!D266</f>
        <v>1556825.4494322087</v>
      </c>
      <c r="U266" s="303">
        <f>Police!U266</f>
        <v>246492.45075068128</v>
      </c>
      <c r="V266" s="336">
        <f t="shared" si="24"/>
        <v>487612.61494078155</v>
      </c>
      <c r="W266" s="180"/>
      <c r="X266" s="180"/>
      <c r="Y266" s="180"/>
      <c r="Z266" s="15"/>
    </row>
    <row r="267" spans="1:26" x14ac:dyDescent="0.25">
      <c r="A267" s="111">
        <f>Données!A267</f>
        <v>5872</v>
      </c>
      <c r="B267" s="119" t="str">
        <f>Données!B267</f>
        <v>Le Chenit</v>
      </c>
      <c r="C267" s="307">
        <f>Ressources!H267</f>
        <v>6127585.1097816648</v>
      </c>
      <c r="D267" s="307">
        <f>Ressources!L267</f>
        <v>0</v>
      </c>
      <c r="E267" s="335">
        <f>Ressources!T267</f>
        <v>1021161.8018892282</v>
      </c>
      <c r="F267" s="308">
        <f t="shared" si="20"/>
        <v>7148746.9116708934</v>
      </c>
      <c r="G267" s="307">
        <f>'Besoins structurels'!I267</f>
        <v>-652040</v>
      </c>
      <c r="H267" s="307">
        <f>'Besoins structurels'!N267</f>
        <v>-356904</v>
      </c>
      <c r="I267" s="307">
        <f>'Besoins structurels'!V267</f>
        <v>0</v>
      </c>
      <c r="J267" s="309">
        <f t="shared" si="21"/>
        <v>-1008944</v>
      </c>
      <c r="K267" s="307">
        <f>'Charges des villes'!N267</f>
        <v>789794.81937769894</v>
      </c>
      <c r="L267" s="307">
        <f>'Charges des villes'!U267</f>
        <v>484743.05487941502</v>
      </c>
      <c r="M267" s="302">
        <f t="shared" si="22"/>
        <v>1274537.874257114</v>
      </c>
      <c r="N267" s="308">
        <f>-VLOOKUP(A267,Paramètres!$B$23:$C$322,2,FALSE)*$N$5</f>
        <v>-61200</v>
      </c>
      <c r="O267" s="322"/>
      <c r="P267" s="602">
        <f t="shared" si="23"/>
        <v>7353140.7859280072</v>
      </c>
      <c r="Q267" s="603"/>
      <c r="R267" s="603"/>
      <c r="S267" s="604"/>
      <c r="T267" s="308">
        <f>PCS!D267</f>
        <v>4665608.2261908343</v>
      </c>
      <c r="U267" s="303">
        <f>Police!U267</f>
        <v>809579.61228754488</v>
      </c>
      <c r="V267" s="336">
        <f t="shared" si="24"/>
        <v>12828328.624406388</v>
      </c>
      <c r="W267" s="180"/>
      <c r="X267" s="180"/>
      <c r="Y267" s="180"/>
      <c r="Z267" s="15"/>
    </row>
    <row r="268" spans="1:26" x14ac:dyDescent="0.25">
      <c r="A268" s="111">
        <f>Données!A268</f>
        <v>5873</v>
      </c>
      <c r="B268" s="119" t="str">
        <f>Données!B268</f>
        <v>Le Lieu</v>
      </c>
      <c r="C268" s="307">
        <f>Ressources!H268</f>
        <v>-933833.07451466843</v>
      </c>
      <c r="D268" s="307">
        <f>Ressources!L268</f>
        <v>0</v>
      </c>
      <c r="E268" s="335">
        <f>Ressources!T268</f>
        <v>187772.0186455395</v>
      </c>
      <c r="F268" s="308">
        <f t="shared" si="20"/>
        <v>-746061.0558691289</v>
      </c>
      <c r="G268" s="307">
        <f>'Besoins structurels'!I268</f>
        <v>-263689</v>
      </c>
      <c r="H268" s="307">
        <f>'Besoins structurels'!N268</f>
        <v>-66795</v>
      </c>
      <c r="I268" s="307">
        <f>'Besoins structurels'!V268</f>
        <v>0</v>
      </c>
      <c r="J268" s="309">
        <f t="shared" si="21"/>
        <v>-330484</v>
      </c>
      <c r="K268" s="307">
        <f>'Charges des villes'!N268</f>
        <v>429955.32877370849</v>
      </c>
      <c r="L268" s="307">
        <f>'Charges des villes'!U268</f>
        <v>93671.132891973772</v>
      </c>
      <c r="M268" s="302">
        <f t="shared" si="22"/>
        <v>523626.46166568226</v>
      </c>
      <c r="N268" s="308">
        <f>-VLOOKUP(A268,Paramètres!$B$23:$C$322,2,FALSE)*$N$5</f>
        <v>-288100</v>
      </c>
      <c r="O268" s="322"/>
      <c r="P268" s="602">
        <f t="shared" si="23"/>
        <v>-841018.59420344676</v>
      </c>
      <c r="Q268" s="603"/>
      <c r="R268" s="603"/>
      <c r="S268" s="604"/>
      <c r="T268" s="308">
        <f>PCS!D268</f>
        <v>901576.21399263619</v>
      </c>
      <c r="U268" s="303">
        <f>Police!U268</f>
        <v>134248.24808902422</v>
      </c>
      <c r="V268" s="336">
        <f t="shared" si="24"/>
        <v>194805.86787821364</v>
      </c>
      <c r="W268" s="180"/>
      <c r="X268" s="180"/>
      <c r="Y268" s="180"/>
      <c r="Z268" s="15"/>
    </row>
    <row r="269" spans="1:26" x14ac:dyDescent="0.25">
      <c r="A269" s="111">
        <f>Données!A269</f>
        <v>5882</v>
      </c>
      <c r="B269" s="119" t="str">
        <f>Données!B269</f>
        <v>Chardonne</v>
      </c>
      <c r="C269" s="307">
        <f>Ressources!H269</f>
        <v>1319880.9930783729</v>
      </c>
      <c r="D269" s="307">
        <f>Ressources!L269</f>
        <v>0</v>
      </c>
      <c r="E269" s="335">
        <f>Ressources!T269</f>
        <v>157145.32537419628</v>
      </c>
      <c r="F269" s="308">
        <f t="shared" si="20"/>
        <v>1477026.3184525692</v>
      </c>
      <c r="G269" s="307">
        <f>'Besoins structurels'!I269</f>
        <v>0</v>
      </c>
      <c r="H269" s="307">
        <f>'Besoins structurels'!N269</f>
        <v>-213587</v>
      </c>
      <c r="I269" s="307">
        <f>'Besoins structurels'!V269</f>
        <v>0</v>
      </c>
      <c r="J269" s="309">
        <f t="shared" si="21"/>
        <v>-213587</v>
      </c>
      <c r="K269" s="307">
        <f>'Charges des villes'!N269</f>
        <v>886694.64585937164</v>
      </c>
      <c r="L269" s="307">
        <f>'Charges des villes'!U269</f>
        <v>342314.37765274214</v>
      </c>
      <c r="M269" s="302">
        <f t="shared" si="22"/>
        <v>1229009.0235121138</v>
      </c>
      <c r="N269" s="308">
        <f>-VLOOKUP(A269,Paramètres!$B$23:$C$322,2,FALSE)*$N$5</f>
        <v>0</v>
      </c>
      <c r="O269" s="322"/>
      <c r="P269" s="602">
        <f t="shared" si="23"/>
        <v>2492448.341964683</v>
      </c>
      <c r="Q269" s="603"/>
      <c r="R269" s="603"/>
      <c r="S269" s="604"/>
      <c r="T269" s="308">
        <f>PCS!D269</f>
        <v>3294745.0411998713</v>
      </c>
      <c r="U269" s="303">
        <f>Police!U269</f>
        <v>101784.84935560837</v>
      </c>
      <c r="V269" s="336">
        <f t="shared" si="24"/>
        <v>5888978.2325201631</v>
      </c>
      <c r="W269" s="180"/>
      <c r="X269" s="180"/>
      <c r="Y269" s="180"/>
      <c r="Z269" s="15"/>
    </row>
    <row r="270" spans="1:26" x14ac:dyDescent="0.25">
      <c r="A270" s="111">
        <f>Données!A270</f>
        <v>5883</v>
      </c>
      <c r="B270" s="119" t="str">
        <f>Données!B270</f>
        <v>Corseaux</v>
      </c>
      <c r="C270" s="307">
        <f>Ressources!H270</f>
        <v>4181778.8292266536</v>
      </c>
      <c r="D270" s="307">
        <f>Ressources!L270</f>
        <v>0</v>
      </c>
      <c r="E270" s="335">
        <f>Ressources!T270</f>
        <v>39914.538930372335</v>
      </c>
      <c r="F270" s="308">
        <f t="shared" si="20"/>
        <v>4221693.3681570254</v>
      </c>
      <c r="G270" s="307">
        <f>'Besoins structurels'!I270</f>
        <v>0</v>
      </c>
      <c r="H270" s="307">
        <f>'Besoins structurels'!N270</f>
        <v>0</v>
      </c>
      <c r="I270" s="307">
        <f>'Besoins structurels'!V270</f>
        <v>0</v>
      </c>
      <c r="J270" s="309">
        <f t="shared" si="21"/>
        <v>0</v>
      </c>
      <c r="K270" s="307">
        <f>'Charges des villes'!N270</f>
        <v>761873.82418627269</v>
      </c>
      <c r="L270" s="307">
        <f>'Charges des villes'!U270</f>
        <v>58319.596270767797</v>
      </c>
      <c r="M270" s="302">
        <f t="shared" si="22"/>
        <v>820193.42045704043</v>
      </c>
      <c r="N270" s="308">
        <f>-VLOOKUP(A270,Paramètres!$B$23:$C$322,2,FALSE)*$N$5</f>
        <v>0</v>
      </c>
      <c r="O270" s="322"/>
      <c r="P270" s="602">
        <f t="shared" si="23"/>
        <v>5041886.7886140663</v>
      </c>
      <c r="Q270" s="603"/>
      <c r="R270" s="603"/>
      <c r="S270" s="604"/>
      <c r="T270" s="308">
        <f>PCS!D270</f>
        <v>2264650.4036143324</v>
      </c>
      <c r="U270" s="303">
        <f>Police!U270</f>
        <v>69962.044799392752</v>
      </c>
      <c r="V270" s="336">
        <f t="shared" si="24"/>
        <v>7376499.2370277923</v>
      </c>
      <c r="W270" s="180"/>
      <c r="X270" s="180"/>
      <c r="Y270" s="180"/>
      <c r="Z270" s="15"/>
    </row>
    <row r="271" spans="1:26" x14ac:dyDescent="0.25">
      <c r="A271" s="111">
        <f>Données!A271</f>
        <v>5884</v>
      </c>
      <c r="B271" s="119" t="str">
        <f>Données!B271</f>
        <v>Corsier-sur-Vevey</v>
      </c>
      <c r="C271" s="307">
        <f>Ressources!H271</f>
        <v>3672115.4377588048</v>
      </c>
      <c r="D271" s="307">
        <f>Ressources!L271</f>
        <v>0</v>
      </c>
      <c r="E271" s="335">
        <f>Ressources!T271</f>
        <v>-169758.75949646253</v>
      </c>
      <c r="F271" s="308">
        <f t="shared" si="20"/>
        <v>3502356.6782623422</v>
      </c>
      <c r="G271" s="307">
        <f>'Besoins structurels'!I271</f>
        <v>0</v>
      </c>
      <c r="H271" s="307">
        <f>'Besoins structurels'!N271</f>
        <v>-165120</v>
      </c>
      <c r="I271" s="307">
        <f>'Besoins structurels'!V271</f>
        <v>0</v>
      </c>
      <c r="J271" s="309">
        <f t="shared" si="21"/>
        <v>-165120</v>
      </c>
      <c r="K271" s="307">
        <f>'Charges des villes'!N271</f>
        <v>881601.89929712471</v>
      </c>
      <c r="L271" s="307">
        <f>'Charges des villes'!U271</f>
        <v>-155359.23025437864</v>
      </c>
      <c r="M271" s="302">
        <f t="shared" si="22"/>
        <v>726242.66904274607</v>
      </c>
      <c r="N271" s="308">
        <f>-VLOOKUP(A271,Paramètres!$B$23:$C$322,2,FALSE)*$N$5</f>
        <v>0</v>
      </c>
      <c r="O271" s="322"/>
      <c r="P271" s="602">
        <f t="shared" si="23"/>
        <v>4063479.3473050883</v>
      </c>
      <c r="Q271" s="603"/>
      <c r="R271" s="603"/>
      <c r="S271" s="604"/>
      <c r="T271" s="308">
        <f>PCS!D271</f>
        <v>3366793.2483655894</v>
      </c>
      <c r="U271" s="303">
        <f>Police!U271</f>
        <v>104010.6409786329</v>
      </c>
      <c r="V271" s="336">
        <f t="shared" si="24"/>
        <v>7534283.2366493102</v>
      </c>
      <c r="W271" s="180"/>
      <c r="X271" s="180"/>
      <c r="Y271" s="180"/>
      <c r="Z271" s="15"/>
    </row>
    <row r="272" spans="1:26" x14ac:dyDescent="0.25">
      <c r="A272" s="111">
        <f>Données!A272</f>
        <v>5885</v>
      </c>
      <c r="B272" s="119" t="str">
        <f>Données!B272</f>
        <v>Jongny</v>
      </c>
      <c r="C272" s="307">
        <f>Ressources!H272</f>
        <v>302370.10000402486</v>
      </c>
      <c r="D272" s="307">
        <f>Ressources!L272</f>
        <v>0</v>
      </c>
      <c r="E272" s="335">
        <f>Ressources!T272</f>
        <v>-235782.70833855376</v>
      </c>
      <c r="F272" s="308">
        <f t="shared" si="20"/>
        <v>66587.391665471107</v>
      </c>
      <c r="G272" s="307">
        <f>'Besoins structurels'!I272</f>
        <v>0</v>
      </c>
      <c r="H272" s="307">
        <f>'Besoins structurels'!N272</f>
        <v>-22959</v>
      </c>
      <c r="I272" s="307">
        <f>'Besoins structurels'!V272</f>
        <v>0</v>
      </c>
      <c r="J272" s="309">
        <f t="shared" si="21"/>
        <v>-22959</v>
      </c>
      <c r="K272" s="307">
        <f>'Charges des villes'!N272</f>
        <v>670092.73923883738</v>
      </c>
      <c r="L272" s="307">
        <f>'Charges des villes'!U272</f>
        <v>193917.45329796299</v>
      </c>
      <c r="M272" s="302">
        <f t="shared" si="22"/>
        <v>864010.1925368004</v>
      </c>
      <c r="N272" s="308">
        <f>-VLOOKUP(A272,Paramètres!$B$23:$C$322,2,FALSE)*$N$5</f>
        <v>0</v>
      </c>
      <c r="O272" s="322"/>
      <c r="P272" s="602">
        <f t="shared" si="23"/>
        <v>907638.58420227154</v>
      </c>
      <c r="Q272" s="603"/>
      <c r="R272" s="603"/>
      <c r="S272" s="604"/>
      <c r="T272" s="308">
        <f>PCS!D272</f>
        <v>1866438.0153605654</v>
      </c>
      <c r="U272" s="303">
        <f>Police!U272</f>
        <v>57660.034342405801</v>
      </c>
      <c r="V272" s="336">
        <f t="shared" si="24"/>
        <v>2831736.6339052427</v>
      </c>
      <c r="W272" s="180"/>
      <c r="X272" s="180"/>
      <c r="Y272" s="180"/>
      <c r="Z272" s="15"/>
    </row>
    <row r="273" spans="1:26" x14ac:dyDescent="0.25">
      <c r="A273" s="111">
        <f>Données!A273</f>
        <v>5886</v>
      </c>
      <c r="B273" s="119" t="str">
        <f>Données!B273</f>
        <v>Montreux</v>
      </c>
      <c r="C273" s="307">
        <f>Ressources!H273</f>
        <v>-9275846.3128761258</v>
      </c>
      <c r="D273" s="307">
        <f>Ressources!L273</f>
        <v>0</v>
      </c>
      <c r="E273" s="335">
        <f>Ressources!T273</f>
        <v>4884098.4236984085</v>
      </c>
      <c r="F273" s="308">
        <f t="shared" si="20"/>
        <v>-4391747.8891777173</v>
      </c>
      <c r="G273" s="307">
        <f>'Besoins structurels'!I273</f>
        <v>0</v>
      </c>
      <c r="H273" s="307">
        <f>'Besoins structurels'!N273</f>
        <v>-625419</v>
      </c>
      <c r="I273" s="307">
        <f>'Besoins structurels'!V273</f>
        <v>0</v>
      </c>
      <c r="J273" s="309">
        <f t="shared" si="21"/>
        <v>-625419</v>
      </c>
      <c r="K273" s="307">
        <f>'Charges des villes'!N273</f>
        <v>-7462766.4981716275</v>
      </c>
      <c r="L273" s="307">
        <f>'Charges des villes'!U273</f>
        <v>666524.79593451298</v>
      </c>
      <c r="M273" s="302">
        <f t="shared" si="22"/>
        <v>-6796241.7022371143</v>
      </c>
      <c r="N273" s="308">
        <f>-VLOOKUP(A273,Paramètres!$B$23:$C$322,2,FALSE)*$N$5</f>
        <v>0</v>
      </c>
      <c r="O273" s="322"/>
      <c r="P273" s="602">
        <f t="shared" si="23"/>
        <v>-11813408.591414832</v>
      </c>
      <c r="Q273" s="603"/>
      <c r="R273" s="603"/>
      <c r="S273" s="604"/>
      <c r="T273" s="308">
        <f>PCS!D273</f>
        <v>26449481.025187854</v>
      </c>
      <c r="U273" s="303">
        <f>Police!U273</f>
        <v>817106.15177141165</v>
      </c>
      <c r="V273" s="336">
        <f t="shared" si="24"/>
        <v>15453178.585544433</v>
      </c>
      <c r="W273" s="180"/>
      <c r="X273" s="180"/>
      <c r="Y273" s="180"/>
      <c r="Z273" s="15"/>
    </row>
    <row r="274" spans="1:26" x14ac:dyDescent="0.25">
      <c r="A274" s="111">
        <f>Données!A274</f>
        <v>5889</v>
      </c>
      <c r="B274" s="119" t="str">
        <f>Données!B274</f>
        <v>La Tour-de-Peilz</v>
      </c>
      <c r="C274" s="307">
        <f>Ressources!H274</f>
        <v>5336290.6094612395</v>
      </c>
      <c r="D274" s="307">
        <f>Ressources!L274</f>
        <v>0</v>
      </c>
      <c r="E274" s="335">
        <f>Ressources!T274</f>
        <v>-1654586.8659014828</v>
      </c>
      <c r="F274" s="308">
        <f t="shared" si="20"/>
        <v>3681703.7435597568</v>
      </c>
      <c r="G274" s="307">
        <f>'Besoins structurels'!I274</f>
        <v>0</v>
      </c>
      <c r="H274" s="307">
        <f>'Besoins structurels'!N274</f>
        <v>0</v>
      </c>
      <c r="I274" s="307">
        <f>'Besoins structurels'!V274</f>
        <v>0</v>
      </c>
      <c r="J274" s="309">
        <f t="shared" si="21"/>
        <v>0</v>
      </c>
      <c r="K274" s="307">
        <f>'Charges des villes'!N274</f>
        <v>-199778.3998537343</v>
      </c>
      <c r="L274" s="307">
        <f>'Charges des villes'!U274</f>
        <v>324828.4275452845</v>
      </c>
      <c r="M274" s="302">
        <f t="shared" si="22"/>
        <v>125050.0276915502</v>
      </c>
      <c r="N274" s="308">
        <f>-VLOOKUP(A274,Paramètres!$B$23:$C$322,2,FALSE)*$N$5</f>
        <v>0</v>
      </c>
      <c r="O274" s="322"/>
      <c r="P274" s="602">
        <f t="shared" si="23"/>
        <v>3806753.7712513069</v>
      </c>
      <c r="Q274" s="603"/>
      <c r="R274" s="603"/>
      <c r="S274" s="604"/>
      <c r="T274" s="308">
        <f>PCS!D274</f>
        <v>12708719.56938</v>
      </c>
      <c r="U274" s="303">
        <f>Police!U274</f>
        <v>392611.59534242196</v>
      </c>
      <c r="V274" s="336">
        <f t="shared" si="24"/>
        <v>16908084.93597373</v>
      </c>
      <c r="W274" s="180"/>
      <c r="X274" s="180"/>
      <c r="Y274" s="180"/>
      <c r="Z274" s="15"/>
    </row>
    <row r="275" spans="1:26" x14ac:dyDescent="0.25">
      <c r="A275" s="111">
        <f>Données!A275</f>
        <v>5890</v>
      </c>
      <c r="B275" s="119" t="str">
        <f>Données!B275</f>
        <v>Vevey</v>
      </c>
      <c r="C275" s="307">
        <f>Ressources!H275</f>
        <v>3964654.9328527874</v>
      </c>
      <c r="D275" s="307">
        <f>Ressources!L275</f>
        <v>0</v>
      </c>
      <c r="E275" s="335">
        <f>Ressources!T275</f>
        <v>-2618636.1988516827</v>
      </c>
      <c r="F275" s="308">
        <f t="shared" si="20"/>
        <v>1346018.7340011047</v>
      </c>
      <c r="G275" s="307">
        <f>'Besoins structurels'!I275</f>
        <v>0</v>
      </c>
      <c r="H275" s="307">
        <f>'Besoins structurels'!N275</f>
        <v>0</v>
      </c>
      <c r="I275" s="307">
        <f>'Besoins structurels'!V275</f>
        <v>0</v>
      </c>
      <c r="J275" s="309">
        <f t="shared" si="21"/>
        <v>0</v>
      </c>
      <c r="K275" s="307">
        <f>'Charges des villes'!N275</f>
        <v>-3815649.7399050687</v>
      </c>
      <c r="L275" s="307">
        <f>'Charges des villes'!U275</f>
        <v>248964.62854334642</v>
      </c>
      <c r="M275" s="302">
        <f t="shared" si="22"/>
        <v>-3566685.1113617225</v>
      </c>
      <c r="N275" s="308">
        <f>-VLOOKUP(A275,Paramètres!$B$23:$C$322,2,FALSE)*$N$5</f>
        <v>0</v>
      </c>
      <c r="O275" s="322"/>
      <c r="P275" s="602">
        <f t="shared" si="23"/>
        <v>-2220666.3773606177</v>
      </c>
      <c r="Q275" s="603"/>
      <c r="R275" s="603"/>
      <c r="S275" s="604"/>
      <c r="T275" s="308">
        <f>PCS!D275</f>
        <v>19646767.194554433</v>
      </c>
      <c r="U275" s="303">
        <f>Police!U275</f>
        <v>606949.31298664934</v>
      </c>
      <c r="V275" s="336">
        <f t="shared" si="24"/>
        <v>18033050.130180463</v>
      </c>
      <c r="W275" s="180"/>
      <c r="X275" s="180"/>
      <c r="Y275" s="180"/>
      <c r="Z275" s="15"/>
    </row>
    <row r="276" spans="1:26" x14ac:dyDescent="0.25">
      <c r="A276" s="111">
        <f>Données!A276</f>
        <v>5891</v>
      </c>
      <c r="B276" s="119" t="str">
        <f>Données!B276</f>
        <v>Veytaux</v>
      </c>
      <c r="C276" s="307">
        <f>Ressources!H276</f>
        <v>-787603.02136708447</v>
      </c>
      <c r="D276" s="307">
        <f>Ressources!L276</f>
        <v>0</v>
      </c>
      <c r="E276" s="335">
        <f>Ressources!T276</f>
        <v>-174986.76999492029</v>
      </c>
      <c r="F276" s="308">
        <f t="shared" si="20"/>
        <v>-962589.79136200482</v>
      </c>
      <c r="G276" s="307">
        <f>'Besoins structurels'!I276</f>
        <v>0</v>
      </c>
      <c r="H276" s="307">
        <f>'Besoins structurels'!N276</f>
        <v>-8267</v>
      </c>
      <c r="I276" s="307">
        <f>'Besoins structurels'!V276</f>
        <v>0</v>
      </c>
      <c r="J276" s="309">
        <f t="shared" si="21"/>
        <v>-8267</v>
      </c>
      <c r="K276" s="307">
        <f>'Charges des villes'!N276</f>
        <v>466109.83895223914</v>
      </c>
      <c r="L276" s="307">
        <f>'Charges des villes'!U276</f>
        <v>-29123.539167268304</v>
      </c>
      <c r="M276" s="302">
        <f t="shared" si="22"/>
        <v>436986.29978497082</v>
      </c>
      <c r="N276" s="308">
        <f>-VLOOKUP(A276,Paramètres!$B$23:$C$322,2,FALSE)*$N$5</f>
        <v>-254100</v>
      </c>
      <c r="O276" s="322"/>
      <c r="P276" s="602">
        <f t="shared" si="23"/>
        <v>-787970.491577034</v>
      </c>
      <c r="Q276" s="603"/>
      <c r="R276" s="603"/>
      <c r="S276" s="604"/>
      <c r="T276" s="308">
        <f>PCS!D276</f>
        <v>981413.41652762122</v>
      </c>
      <c r="U276" s="303">
        <f>Police!U276</f>
        <v>30318.891297415259</v>
      </c>
      <c r="V276" s="336">
        <f t="shared" si="24"/>
        <v>223761.81624800246</v>
      </c>
      <c r="W276" s="180"/>
      <c r="X276" s="180"/>
      <c r="Y276" s="180"/>
      <c r="Z276" s="15"/>
    </row>
    <row r="277" spans="1:26" x14ac:dyDescent="0.25">
      <c r="A277" s="111">
        <f>Données!A277</f>
        <v>5892</v>
      </c>
      <c r="B277" s="119" t="str">
        <f>Données!B277</f>
        <v>Blonay-Saint-Légier</v>
      </c>
      <c r="C277" s="307">
        <f>Ressources!H277</f>
        <v>5406036.8866882343</v>
      </c>
      <c r="D277" s="307">
        <f>Ressources!L277</f>
        <v>0</v>
      </c>
      <c r="E277" s="335">
        <f>Ressources!T277</f>
        <v>16356133.483977171</v>
      </c>
      <c r="F277" s="308">
        <f t="shared" si="20"/>
        <v>21762170.370665405</v>
      </c>
      <c r="G277" s="307">
        <f>'Besoins structurels'!I277</f>
        <v>0</v>
      </c>
      <c r="H277" s="307">
        <f>'Besoins structurels'!N277</f>
        <v>-212014</v>
      </c>
      <c r="I277" s="307">
        <f>'Besoins structurels'!V277</f>
        <v>0</v>
      </c>
      <c r="J277" s="309">
        <f t="shared" si="21"/>
        <v>-212014</v>
      </c>
      <c r="K277" s="307">
        <f>'Charges des villes'!N277</f>
        <v>13936.274527275003</v>
      </c>
      <c r="L277" s="307">
        <f>'Charges des villes'!U277</f>
        <v>673255.54021619179</v>
      </c>
      <c r="M277" s="302">
        <f t="shared" si="22"/>
        <v>687191.81474346679</v>
      </c>
      <c r="N277" s="308">
        <f>-VLOOKUP(A277,Paramètres!$B$23:$C$322,2,FALSE)*$N$5</f>
        <v>-324400</v>
      </c>
      <c r="O277" s="322"/>
      <c r="P277" s="602">
        <f t="shared" si="23"/>
        <v>21912948.185408872</v>
      </c>
      <c r="Q277" s="603"/>
      <c r="R277" s="603"/>
      <c r="S277" s="604"/>
      <c r="T277" s="308">
        <f>PCS!D277</f>
        <v>12264746.83333179</v>
      </c>
      <c r="U277" s="303">
        <f>Police!U277</f>
        <v>378895.90642216272</v>
      </c>
      <c r="V277" s="336">
        <f t="shared" si="24"/>
        <v>34556590.925162822</v>
      </c>
      <c r="W277" s="180"/>
      <c r="X277" s="180"/>
      <c r="Y277" s="180"/>
      <c r="Z277" s="15"/>
    </row>
    <row r="278" spans="1:26" x14ac:dyDescent="0.25">
      <c r="A278" s="111">
        <f>Données!A278</f>
        <v>5902</v>
      </c>
      <c r="B278" s="119" t="str">
        <f>Données!B278</f>
        <v>Belmont-sur-Yverdon</v>
      </c>
      <c r="C278" s="307">
        <f>Ressources!H278</f>
        <v>-658712.70868889568</v>
      </c>
      <c r="D278" s="307">
        <f>Ressources!L278</f>
        <v>-6431</v>
      </c>
      <c r="E278" s="335">
        <f>Ressources!T278</f>
        <v>-87396.815349879544</v>
      </c>
      <c r="F278" s="308">
        <f t="shared" si="20"/>
        <v>-752540.52403877524</v>
      </c>
      <c r="G278" s="307">
        <f>'Besoins structurels'!I278</f>
        <v>-31624</v>
      </c>
      <c r="H278" s="307">
        <f>'Besoins structurels'!N278</f>
        <v>0</v>
      </c>
      <c r="I278" s="307">
        <f>'Besoins structurels'!V278</f>
        <v>-27545</v>
      </c>
      <c r="J278" s="309">
        <f t="shared" si="21"/>
        <v>-59169</v>
      </c>
      <c r="K278" s="307">
        <f>'Charges des villes'!N278</f>
        <v>212191.77672741332</v>
      </c>
      <c r="L278" s="307">
        <f>'Charges des villes'!U278</f>
        <v>46228.626060077768</v>
      </c>
      <c r="M278" s="302">
        <f t="shared" si="22"/>
        <v>258420.4027874911</v>
      </c>
      <c r="N278" s="308">
        <f>-VLOOKUP(A278,Paramètres!$B$23:$C$322,2,FALSE)*$N$5</f>
        <v>0</v>
      </c>
      <c r="O278" s="322"/>
      <c r="P278" s="602">
        <f t="shared" si="23"/>
        <v>-553289.12125128414</v>
      </c>
      <c r="Q278" s="603"/>
      <c r="R278" s="603"/>
      <c r="S278" s="604"/>
      <c r="T278" s="308">
        <f>PCS!D278</f>
        <v>444946.36046936794</v>
      </c>
      <c r="U278" s="303">
        <f>Police!U278</f>
        <v>66254.264985619942</v>
      </c>
      <c r="V278" s="336">
        <f t="shared" si="24"/>
        <v>-42088.495796296265</v>
      </c>
      <c r="W278" s="180"/>
      <c r="X278" s="180"/>
      <c r="Y278" s="180"/>
      <c r="Z278" s="15"/>
    </row>
    <row r="279" spans="1:26" x14ac:dyDescent="0.25">
      <c r="A279" s="111">
        <f>Données!A279</f>
        <v>5903</v>
      </c>
      <c r="B279" s="119" t="str">
        <f>Données!B279</f>
        <v>Bioley-Magnoux</v>
      </c>
      <c r="C279" s="307">
        <f>Ressources!H279</f>
        <v>-342806.88605044561</v>
      </c>
      <c r="D279" s="307">
        <f>Ressources!L279</f>
        <v>0</v>
      </c>
      <c r="E279" s="335">
        <f>Ressources!T279</f>
        <v>-31893.188748730077</v>
      </c>
      <c r="F279" s="308">
        <f t="shared" si="20"/>
        <v>-374700.07479917567</v>
      </c>
      <c r="G279" s="307">
        <f>'Besoins structurels'!I279</f>
        <v>-24879</v>
      </c>
      <c r="H279" s="307">
        <f>'Besoins structurels'!N279</f>
        <v>0</v>
      </c>
      <c r="I279" s="307">
        <f>'Besoins structurels'!V279</f>
        <v>-54715</v>
      </c>
      <c r="J279" s="309">
        <f t="shared" si="21"/>
        <v>-79594</v>
      </c>
      <c r="K279" s="307">
        <f>'Charges des villes'!N279</f>
        <v>117007.28169651676</v>
      </c>
      <c r="L279" s="307">
        <f>'Charges des villes'!U279</f>
        <v>25491.496208182925</v>
      </c>
      <c r="M279" s="302">
        <f t="shared" si="22"/>
        <v>142498.77790469967</v>
      </c>
      <c r="N279" s="308">
        <f>-VLOOKUP(A279,Paramètres!$B$23:$C$322,2,FALSE)*$N$5</f>
        <v>-105700</v>
      </c>
      <c r="O279" s="322"/>
      <c r="P279" s="602">
        <f t="shared" si="23"/>
        <v>-417495.29689447599</v>
      </c>
      <c r="Q279" s="603"/>
      <c r="R279" s="603"/>
      <c r="S279" s="604"/>
      <c r="T279" s="308">
        <f>PCS!D279</f>
        <v>245353.3541319053</v>
      </c>
      <c r="U279" s="303">
        <f>Police!U279</f>
        <v>36534.080473470953</v>
      </c>
      <c r="V279" s="336">
        <f t="shared" si="24"/>
        <v>-135607.86228909972</v>
      </c>
      <c r="W279" s="180"/>
      <c r="X279" s="180"/>
      <c r="Y279" s="180"/>
      <c r="Z279" s="15"/>
    </row>
    <row r="280" spans="1:26" x14ac:dyDescent="0.25">
      <c r="A280" s="111">
        <f>Données!A280</f>
        <v>5904</v>
      </c>
      <c r="B280" s="119" t="str">
        <f>Données!B280</f>
        <v>Chamblon</v>
      </c>
      <c r="C280" s="307">
        <f>Ressources!H280</f>
        <v>-355906.78205238224</v>
      </c>
      <c r="D280" s="307">
        <f>Ressources!L280</f>
        <v>0</v>
      </c>
      <c r="E280" s="335">
        <f>Ressources!T280</f>
        <v>-74470.052943616596</v>
      </c>
      <c r="F280" s="308">
        <f t="shared" si="20"/>
        <v>-430376.83499599883</v>
      </c>
      <c r="G280" s="307">
        <f>'Besoins structurels'!I280</f>
        <v>0</v>
      </c>
      <c r="H280" s="307">
        <f>'Besoins structurels'!N280</f>
        <v>0</v>
      </c>
      <c r="I280" s="307">
        <f>'Besoins structurels'!V280</f>
        <v>0</v>
      </c>
      <c r="J280" s="309">
        <f t="shared" si="21"/>
        <v>0</v>
      </c>
      <c r="K280" s="307">
        <f>'Charges des villes'!N280</f>
        <v>259087.55232800142</v>
      </c>
      <c r="L280" s="307">
        <f>'Charges des villes'!U280</f>
        <v>56445.455889547913</v>
      </c>
      <c r="M280" s="302">
        <f t="shared" si="22"/>
        <v>315533.0082175493</v>
      </c>
      <c r="N280" s="308">
        <f>-VLOOKUP(A280,Paramètres!$B$23:$C$322,2,FALSE)*$N$5</f>
        <v>0</v>
      </c>
      <c r="O280" s="322"/>
      <c r="P280" s="602">
        <f t="shared" si="23"/>
        <v>-114843.82677844953</v>
      </c>
      <c r="Q280" s="603"/>
      <c r="R280" s="603"/>
      <c r="S280" s="604"/>
      <c r="T280" s="308">
        <f>PCS!D280</f>
        <v>543282.42700636177</v>
      </c>
      <c r="U280" s="303">
        <f>Police!U280</f>
        <v>16783.671968212017</v>
      </c>
      <c r="V280" s="336">
        <f t="shared" si="24"/>
        <v>445222.27219612425</v>
      </c>
      <c r="W280" s="180"/>
      <c r="X280" s="180"/>
      <c r="Y280" s="180"/>
      <c r="Z280" s="15"/>
    </row>
    <row r="281" spans="1:26" x14ac:dyDescent="0.25">
      <c r="A281" s="111">
        <f>Données!A281</f>
        <v>5905</v>
      </c>
      <c r="B281" s="119" t="str">
        <f>Données!B281</f>
        <v>Champvent</v>
      </c>
      <c r="C281" s="307">
        <f>Ressources!H281</f>
        <v>-988964.27472749341</v>
      </c>
      <c r="D281" s="307">
        <f>Ressources!L281</f>
        <v>-7620</v>
      </c>
      <c r="E281" s="335">
        <f>Ressources!T281</f>
        <v>-121732.15108778258</v>
      </c>
      <c r="F281" s="308">
        <f t="shared" si="20"/>
        <v>-1118316.4258152759</v>
      </c>
      <c r="G281" s="307">
        <f>'Besoins structurels'!I281</f>
        <v>-39229</v>
      </c>
      <c r="H281" s="307">
        <f>'Besoins structurels'!N281</f>
        <v>0</v>
      </c>
      <c r="I281" s="307">
        <f>'Besoins structurels'!V281</f>
        <v>-26239</v>
      </c>
      <c r="J281" s="309">
        <f t="shared" si="21"/>
        <v>-65468</v>
      </c>
      <c r="K281" s="307">
        <f>'Charges des villes'!N281</f>
        <v>321305.7100555143</v>
      </c>
      <c r="L281" s="307">
        <f>'Charges des villes'!U281</f>
        <v>70000.45784151819</v>
      </c>
      <c r="M281" s="302">
        <f t="shared" si="22"/>
        <v>391306.16789703246</v>
      </c>
      <c r="N281" s="308">
        <f>-VLOOKUP(A281,Paramètres!$B$23:$C$322,2,FALSE)*$N$5</f>
        <v>0</v>
      </c>
      <c r="O281" s="322"/>
      <c r="P281" s="602">
        <f t="shared" si="23"/>
        <v>-792478.25791824341</v>
      </c>
      <c r="Q281" s="603"/>
      <c r="R281" s="603"/>
      <c r="S281" s="604"/>
      <c r="T281" s="308">
        <f>PCS!D281</f>
        <v>673748.09944158117</v>
      </c>
      <c r="U281" s="303">
        <f>Police!U281</f>
        <v>100323.74479222976</v>
      </c>
      <c r="V281" s="336">
        <f t="shared" si="24"/>
        <v>-18406.413684432482</v>
      </c>
      <c r="W281" s="180"/>
      <c r="X281" s="180"/>
      <c r="Y281" s="180"/>
      <c r="Z281" s="15"/>
    </row>
    <row r="282" spans="1:26" x14ac:dyDescent="0.25">
      <c r="A282" s="111">
        <f>Données!A282</f>
        <v>5907</v>
      </c>
      <c r="B282" s="119" t="str">
        <f>Données!B282</f>
        <v>Chavannes-le-Chêne</v>
      </c>
      <c r="C282" s="307">
        <f>Ressources!H282</f>
        <v>-460523.62435488688</v>
      </c>
      <c r="D282" s="307">
        <f>Ressources!L282</f>
        <v>-1207</v>
      </c>
      <c r="E282" s="335">
        <f>Ressources!T282</f>
        <v>-75950.215033064262</v>
      </c>
      <c r="F282" s="308">
        <f t="shared" si="20"/>
        <v>-537680.83938795119</v>
      </c>
      <c r="G282" s="307">
        <f>'Besoins structurels'!I282</f>
        <v>-15509</v>
      </c>
      <c r="H282" s="307">
        <f>'Besoins structurels'!N282</f>
        <v>0</v>
      </c>
      <c r="I282" s="307">
        <f>'Besoins structurels'!V282</f>
        <v>0</v>
      </c>
      <c r="J282" s="309">
        <f t="shared" si="21"/>
        <v>-15509</v>
      </c>
      <c r="K282" s="307">
        <f>'Charges des villes'!N282</f>
        <v>152759.50665934134</v>
      </c>
      <c r="L282" s="307">
        <f>'Charges des villes'!U282</f>
        <v>33280.564494016602</v>
      </c>
      <c r="M282" s="302">
        <f t="shared" si="22"/>
        <v>186040.07115335795</v>
      </c>
      <c r="N282" s="308">
        <f>-VLOOKUP(A282,Paramètres!$B$23:$C$322,2,FALSE)*$N$5</f>
        <v>-27800</v>
      </c>
      <c r="O282" s="322"/>
      <c r="P282" s="602">
        <f t="shared" si="23"/>
        <v>-394949.76823459321</v>
      </c>
      <c r="Q282" s="603"/>
      <c r="R282" s="603"/>
      <c r="S282" s="604"/>
      <c r="T282" s="308">
        <f>PCS!D282</f>
        <v>320322.43456109858</v>
      </c>
      <c r="U282" s="303">
        <f>Police!U282</f>
        <v>47697.271729253742</v>
      </c>
      <c r="V282" s="336">
        <f t="shared" si="24"/>
        <v>-26930.061944240893</v>
      </c>
      <c r="W282" s="180"/>
      <c r="X282" s="180"/>
      <c r="Y282" s="180"/>
      <c r="Z282" s="15"/>
    </row>
    <row r="283" spans="1:26" x14ac:dyDescent="0.25">
      <c r="A283" s="111">
        <f>Données!A283</f>
        <v>5908</v>
      </c>
      <c r="B283" s="119" t="str">
        <f>Données!B283</f>
        <v>Chêne-Pâquier</v>
      </c>
      <c r="C283" s="307">
        <f>Ressources!H283</f>
        <v>-239191.64071444503</v>
      </c>
      <c r="D283" s="307">
        <f>Ressources!L283</f>
        <v>-239</v>
      </c>
      <c r="E283" s="335">
        <f>Ressources!T283</f>
        <v>-43004.106050720526</v>
      </c>
      <c r="F283" s="308">
        <f t="shared" si="20"/>
        <v>-282434.74676516559</v>
      </c>
      <c r="G283" s="307">
        <f>'Besoins structurels'!I283</f>
        <v>-7943</v>
      </c>
      <c r="H283" s="307">
        <f>'Besoins structurels'!N283</f>
        <v>0</v>
      </c>
      <c r="I283" s="307">
        <f>'Besoins structurels'!V283</f>
        <v>-47233</v>
      </c>
      <c r="J283" s="309">
        <f t="shared" si="21"/>
        <v>-55176</v>
      </c>
      <c r="K283" s="307">
        <f>'Charges des villes'!N283</f>
        <v>79862.112903971763</v>
      </c>
      <c r="L283" s="307">
        <f>'Charges des villes'!U283</f>
        <v>17398.957729394697</v>
      </c>
      <c r="M283" s="302">
        <f t="shared" si="22"/>
        <v>97261.070633366457</v>
      </c>
      <c r="N283" s="308">
        <f>-VLOOKUP(A283,Paramètres!$B$23:$C$322,2,FALSE)*$N$5</f>
        <v>0</v>
      </c>
      <c r="O283" s="322"/>
      <c r="P283" s="602">
        <f t="shared" si="23"/>
        <v>-240349.67613179912</v>
      </c>
      <c r="Q283" s="603"/>
      <c r="R283" s="603"/>
      <c r="S283" s="604"/>
      <c r="T283" s="308">
        <f>PCS!D283</f>
        <v>167463.40043923695</v>
      </c>
      <c r="U283" s="303">
        <f>Police!U283</f>
        <v>24935.959688242074</v>
      </c>
      <c r="V283" s="336">
        <f t="shared" si="24"/>
        <v>-47950.316004320091</v>
      </c>
      <c r="W283" s="180"/>
      <c r="X283" s="180"/>
      <c r="Y283" s="180"/>
      <c r="Z283" s="15"/>
    </row>
    <row r="284" spans="1:26" x14ac:dyDescent="0.25">
      <c r="A284" s="111">
        <f>Données!A284</f>
        <v>5909</v>
      </c>
      <c r="B284" s="119" t="str">
        <f>Données!B284</f>
        <v>Cheseaux-Noréaz</v>
      </c>
      <c r="C284" s="307">
        <f>Ressources!H284</f>
        <v>-188449.00598177829</v>
      </c>
      <c r="D284" s="307">
        <f>Ressources!L284</f>
        <v>0</v>
      </c>
      <c r="E284" s="335">
        <f>Ressources!T284</f>
        <v>-88454.406062713912</v>
      </c>
      <c r="F284" s="308">
        <f t="shared" si="20"/>
        <v>-276903.4120444922</v>
      </c>
      <c r="G284" s="307">
        <f>'Besoins structurels'!I284</f>
        <v>0</v>
      </c>
      <c r="H284" s="307">
        <f>'Besoins structurels'!N284</f>
        <v>0</v>
      </c>
      <c r="I284" s="307">
        <f>'Besoins structurels'!V284</f>
        <v>0</v>
      </c>
      <c r="J284" s="309">
        <f t="shared" si="21"/>
        <v>0</v>
      </c>
      <c r="K284" s="307">
        <f>'Charges des villes'!N284</f>
        <v>345914.38438057539</v>
      </c>
      <c r="L284" s="307">
        <f>'Charges des villes'!U284</f>
        <v>13739.364583715404</v>
      </c>
      <c r="M284" s="302">
        <f t="shared" si="22"/>
        <v>359653.74896429077</v>
      </c>
      <c r="N284" s="308">
        <f>-VLOOKUP(A284,Paramètres!$B$23:$C$322,2,FALSE)*$N$5</f>
        <v>0</v>
      </c>
      <c r="O284" s="322"/>
      <c r="P284" s="602">
        <f t="shared" si="23"/>
        <v>82750.336919798574</v>
      </c>
      <c r="Q284" s="603"/>
      <c r="R284" s="603"/>
      <c r="S284" s="604"/>
      <c r="T284" s="308">
        <f>PCS!D284</f>
        <v>725350.193762974</v>
      </c>
      <c r="U284" s="303">
        <f>Police!U284</f>
        <v>22408.307556125364</v>
      </c>
      <c r="V284" s="336">
        <f t="shared" si="24"/>
        <v>830508.83823889797</v>
      </c>
      <c r="W284" s="180"/>
      <c r="X284" s="180"/>
      <c r="Y284" s="180"/>
      <c r="Z284" s="15"/>
    </row>
    <row r="285" spans="1:26" x14ac:dyDescent="0.25">
      <c r="A285" s="111">
        <f>Données!A285</f>
        <v>5910</v>
      </c>
      <c r="B285" s="119" t="str">
        <f>Données!B285</f>
        <v>Cronay</v>
      </c>
      <c r="C285" s="307">
        <f>Ressources!H285</f>
        <v>-648409.05542677792</v>
      </c>
      <c r="D285" s="307">
        <f>Ressources!L285</f>
        <v>-12512</v>
      </c>
      <c r="E285" s="335">
        <f>Ressources!T285</f>
        <v>-79652.978569251558</v>
      </c>
      <c r="F285" s="308">
        <f t="shared" si="20"/>
        <v>-740574.03399602952</v>
      </c>
      <c r="G285" s="307">
        <f>'Besoins structurels'!I285</f>
        <v>-34622</v>
      </c>
      <c r="H285" s="307">
        <f>'Besoins structurels'!N285</f>
        <v>0</v>
      </c>
      <c r="I285" s="307">
        <f>'Besoins structurels'!V285</f>
        <v>-50598</v>
      </c>
      <c r="J285" s="309">
        <f t="shared" si="21"/>
        <v>-85220</v>
      </c>
      <c r="K285" s="307">
        <f>'Charges des villes'!N285</f>
        <v>200583.91147974302</v>
      </c>
      <c r="L285" s="307">
        <f>'Charges des villes'!U285</f>
        <v>43699.707785456449</v>
      </c>
      <c r="M285" s="302">
        <f t="shared" si="22"/>
        <v>244283.61926519946</v>
      </c>
      <c r="N285" s="308">
        <f>-VLOOKUP(A285,Paramètres!$B$23:$C$322,2,FALSE)*$N$5</f>
        <v>0</v>
      </c>
      <c r="O285" s="322"/>
      <c r="P285" s="602">
        <f t="shared" si="23"/>
        <v>-581510.41473083012</v>
      </c>
      <c r="Q285" s="603"/>
      <c r="R285" s="603"/>
      <c r="S285" s="604"/>
      <c r="T285" s="308">
        <f>PCS!D285</f>
        <v>420605.74994040909</v>
      </c>
      <c r="U285" s="303">
        <f>Police!U285</f>
        <v>62629.852240235916</v>
      </c>
      <c r="V285" s="336">
        <f t="shared" si="24"/>
        <v>-98274.812550185103</v>
      </c>
      <c r="W285" s="180"/>
      <c r="X285" s="180"/>
      <c r="Y285" s="180"/>
      <c r="Z285" s="15"/>
    </row>
    <row r="286" spans="1:26" x14ac:dyDescent="0.25">
      <c r="A286" s="111">
        <f>Données!A286</f>
        <v>5911</v>
      </c>
      <c r="B286" s="119" t="str">
        <f>Données!B286</f>
        <v>Cuarny</v>
      </c>
      <c r="C286" s="307">
        <f>Ressources!H286</f>
        <v>-290479.85740510165</v>
      </c>
      <c r="D286" s="307">
        <f>Ressources!L286</f>
        <v>0</v>
      </c>
      <c r="E286" s="335">
        <f>Ressources!T286</f>
        <v>-57486.31497892912</v>
      </c>
      <c r="F286" s="308">
        <f t="shared" si="20"/>
        <v>-347966.17238403077</v>
      </c>
      <c r="G286" s="307">
        <f>'Besoins structurels'!I286</f>
        <v>-29156</v>
      </c>
      <c r="H286" s="307">
        <f>'Besoins structurels'!N286</f>
        <v>0</v>
      </c>
      <c r="I286" s="307">
        <f>'Besoins structurels'!V286</f>
        <v>-12019</v>
      </c>
      <c r="J286" s="309">
        <f t="shared" si="21"/>
        <v>-41175</v>
      </c>
      <c r="K286" s="307">
        <f>'Charges des villes'!N286</f>
        <v>113292.76481726227</v>
      </c>
      <c r="L286" s="307">
        <f>'Charges des villes'!U286</f>
        <v>24682.242360304102</v>
      </c>
      <c r="M286" s="302">
        <f t="shared" si="22"/>
        <v>137975.00717756638</v>
      </c>
      <c r="N286" s="308">
        <f>-VLOOKUP(A286,Paramètres!$B$23:$C$322,2,FALSE)*$N$5</f>
        <v>0</v>
      </c>
      <c r="O286" s="322"/>
      <c r="P286" s="602">
        <f t="shared" si="23"/>
        <v>-251166.16520646439</v>
      </c>
      <c r="Q286" s="603"/>
      <c r="R286" s="603"/>
      <c r="S286" s="604"/>
      <c r="T286" s="308">
        <f>PCS!D286</f>
        <v>237564.35876263847</v>
      </c>
      <c r="U286" s="303">
        <f>Police!U286</f>
        <v>35374.268394948063</v>
      </c>
      <c r="V286" s="336">
        <f t="shared" si="24"/>
        <v>21772.461951122146</v>
      </c>
      <c r="W286" s="180"/>
      <c r="X286" s="180"/>
      <c r="Y286" s="180"/>
      <c r="Z286" s="15"/>
    </row>
    <row r="287" spans="1:26" x14ac:dyDescent="0.25">
      <c r="A287" s="111">
        <f>Données!A287</f>
        <v>5912</v>
      </c>
      <c r="B287" s="119" t="str">
        <f>Données!B287</f>
        <v>Démoret</v>
      </c>
      <c r="C287" s="307">
        <f>Ressources!H287</f>
        <v>-254776.71098394354</v>
      </c>
      <c r="D287" s="307">
        <f>Ressources!L287</f>
        <v>-1019</v>
      </c>
      <c r="E287" s="335">
        <f>Ressources!T287</f>
        <v>-37325.610291746598</v>
      </c>
      <c r="F287" s="308">
        <f t="shared" si="20"/>
        <v>-293121.32127569016</v>
      </c>
      <c r="G287" s="307">
        <f>'Besoins structurels'!I287</f>
        <v>-30987</v>
      </c>
      <c r="H287" s="307">
        <f>'Besoins structurels'!N287</f>
        <v>-1404</v>
      </c>
      <c r="I287" s="307">
        <f>'Besoins structurels'!V287</f>
        <v>-66529</v>
      </c>
      <c r="J287" s="309">
        <f t="shared" si="21"/>
        <v>-98920</v>
      </c>
      <c r="K287" s="307">
        <f>'Charges des villes'!N287</f>
        <v>84040.944393133075</v>
      </c>
      <c r="L287" s="307">
        <f>'Charges des villes'!U287</f>
        <v>18309.368308258374</v>
      </c>
      <c r="M287" s="302">
        <f t="shared" si="22"/>
        <v>102350.31270139145</v>
      </c>
      <c r="N287" s="308">
        <f>-VLOOKUP(A287,Paramètres!$B$23:$C$322,2,FALSE)*$N$5</f>
        <v>0</v>
      </c>
      <c r="O287" s="322"/>
      <c r="P287" s="602">
        <f t="shared" si="23"/>
        <v>-289691.0085742987</v>
      </c>
      <c r="Q287" s="603"/>
      <c r="R287" s="603"/>
      <c r="S287" s="604"/>
      <c r="T287" s="308">
        <f>PCS!D287</f>
        <v>176226.02022966213</v>
      </c>
      <c r="U287" s="303">
        <f>Police!U287</f>
        <v>26240.748276580325</v>
      </c>
      <c r="V287" s="336">
        <f t="shared" si="24"/>
        <v>-87224.240068056242</v>
      </c>
      <c r="W287" s="180"/>
      <c r="X287" s="180"/>
      <c r="Y287" s="180"/>
      <c r="Z287" s="15"/>
    </row>
    <row r="288" spans="1:26" x14ac:dyDescent="0.25">
      <c r="A288" s="111">
        <f>Données!A288</f>
        <v>5913</v>
      </c>
      <c r="B288" s="119" t="str">
        <f>Données!B288</f>
        <v>Donneloye</v>
      </c>
      <c r="C288" s="307">
        <f>Ressources!H288</f>
        <v>-1272775.5842847992</v>
      </c>
      <c r="D288" s="307">
        <f>Ressources!L288</f>
        <v>-4817</v>
      </c>
      <c r="E288" s="335">
        <f>Ressources!T288</f>
        <v>-167254.981458733</v>
      </c>
      <c r="F288" s="308">
        <f t="shared" si="20"/>
        <v>-1444847.5657435323</v>
      </c>
      <c r="G288" s="307">
        <f>'Besoins structurels'!I288</f>
        <v>-21438</v>
      </c>
      <c r="H288" s="307">
        <f>'Besoins structurels'!N288</f>
        <v>0</v>
      </c>
      <c r="I288" s="307">
        <f>'Besoins structurels'!V288</f>
        <v>-92306</v>
      </c>
      <c r="J288" s="309">
        <f t="shared" si="21"/>
        <v>-113744</v>
      </c>
      <c r="K288" s="307">
        <f>'Charges des villes'!N288</f>
        <v>420204.72196566541</v>
      </c>
      <c r="L288" s="307">
        <f>'Charges des villes'!U288</f>
        <v>91546.841541291855</v>
      </c>
      <c r="M288" s="302">
        <f t="shared" si="22"/>
        <v>511751.56350695726</v>
      </c>
      <c r="N288" s="308">
        <f>-VLOOKUP(A288,Paramètres!$B$23:$C$322,2,FALSE)*$N$5</f>
        <v>0</v>
      </c>
      <c r="O288" s="322"/>
      <c r="P288" s="602">
        <f t="shared" si="23"/>
        <v>-1046840.002236575</v>
      </c>
      <c r="Q288" s="603"/>
      <c r="R288" s="603"/>
      <c r="S288" s="604"/>
      <c r="T288" s="308">
        <f>PCS!D288</f>
        <v>881130.1011483107</v>
      </c>
      <c r="U288" s="303">
        <f>Police!U288</f>
        <v>131203.74138290161</v>
      </c>
      <c r="V288" s="336">
        <f t="shared" si="24"/>
        <v>-34506.15970536269</v>
      </c>
      <c r="W288" s="180"/>
      <c r="X288" s="180"/>
      <c r="Y288" s="180"/>
      <c r="Z288" s="15"/>
    </row>
    <row r="289" spans="1:26" x14ac:dyDescent="0.25">
      <c r="A289" s="111">
        <f>Données!A289</f>
        <v>5914</v>
      </c>
      <c r="B289" s="119" t="str">
        <f>Données!B289</f>
        <v>Ependes</v>
      </c>
      <c r="C289" s="307">
        <f>Ressources!H289</f>
        <v>-511832.37701481592</v>
      </c>
      <c r="D289" s="307">
        <f>Ressources!L289</f>
        <v>0</v>
      </c>
      <c r="E289" s="335">
        <f>Ressources!T289</f>
        <v>-23391.797180644862</v>
      </c>
      <c r="F289" s="308">
        <f t="shared" si="20"/>
        <v>-535224.17419546074</v>
      </c>
      <c r="G289" s="307">
        <f>'Besoins structurels'!I289</f>
        <v>-19355</v>
      </c>
      <c r="H289" s="307">
        <f>'Besoins structurels'!N289</f>
        <v>0</v>
      </c>
      <c r="I289" s="307">
        <f>'Besoins structurels'!V289</f>
        <v>-24269</v>
      </c>
      <c r="J289" s="309">
        <f t="shared" si="21"/>
        <v>-43624</v>
      </c>
      <c r="K289" s="307">
        <f>'Charges des villes'!N289</f>
        <v>174582.29332496153</v>
      </c>
      <c r="L289" s="307">
        <f>'Charges des villes'!U289</f>
        <v>38034.930850304685</v>
      </c>
      <c r="M289" s="302">
        <f t="shared" si="22"/>
        <v>212617.22417526622</v>
      </c>
      <c r="N289" s="308">
        <f>-VLOOKUP(A289,Paramètres!$B$23:$C$322,2,FALSE)*$N$5</f>
        <v>0</v>
      </c>
      <c r="O289" s="322"/>
      <c r="P289" s="602">
        <f t="shared" si="23"/>
        <v>-366230.95002019452</v>
      </c>
      <c r="Q289" s="603"/>
      <c r="R289" s="603"/>
      <c r="S289" s="604"/>
      <c r="T289" s="308">
        <f>PCS!D289</f>
        <v>366082.78235554125</v>
      </c>
      <c r="U289" s="303">
        <f>Police!U289</f>
        <v>11309.427706178707</v>
      </c>
      <c r="V289" s="336">
        <f t="shared" si="24"/>
        <v>11161.260041525435</v>
      </c>
      <c r="W289" s="180"/>
      <c r="X289" s="180"/>
      <c r="Y289" s="180"/>
      <c r="Z289" s="15"/>
    </row>
    <row r="290" spans="1:26" x14ac:dyDescent="0.25">
      <c r="A290" s="111">
        <f>Données!A290</f>
        <v>5919</v>
      </c>
      <c r="B290" s="119" t="str">
        <f>Données!B290</f>
        <v>Mathod</v>
      </c>
      <c r="C290" s="307">
        <f>Ressources!H290</f>
        <v>-788111.27237806108</v>
      </c>
      <c r="D290" s="307">
        <f>Ressources!L290</f>
        <v>0</v>
      </c>
      <c r="E290" s="335">
        <f>Ressources!T290</f>
        <v>-81415.788706588326</v>
      </c>
      <c r="F290" s="308">
        <f t="shared" si="20"/>
        <v>-869527.06108464941</v>
      </c>
      <c r="G290" s="307">
        <f>'Besoins structurels'!I290</f>
        <v>-8766</v>
      </c>
      <c r="H290" s="307">
        <f>'Besoins structurels'!N290</f>
        <v>0</v>
      </c>
      <c r="I290" s="307">
        <f>'Besoins structurels'!V290</f>
        <v>0</v>
      </c>
      <c r="J290" s="309">
        <f t="shared" si="21"/>
        <v>-8766</v>
      </c>
      <c r="K290" s="307">
        <f>'Charges des villes'!N290</f>
        <v>343592.81133104127</v>
      </c>
      <c r="L290" s="307">
        <f>'Charges des villes'!U290</f>
        <v>74855.980928791134</v>
      </c>
      <c r="M290" s="302">
        <f t="shared" si="22"/>
        <v>418448.79225983238</v>
      </c>
      <c r="N290" s="308">
        <f>-VLOOKUP(A290,Paramètres!$B$23:$C$322,2,FALSE)*$N$5</f>
        <v>0</v>
      </c>
      <c r="O290" s="322"/>
      <c r="P290" s="602">
        <f t="shared" si="23"/>
        <v>-459844.26882481703</v>
      </c>
      <c r="Q290" s="603"/>
      <c r="R290" s="603"/>
      <c r="S290" s="604"/>
      <c r="T290" s="308">
        <f>PCS!D290</f>
        <v>720482.07165718218</v>
      </c>
      <c r="U290" s="303">
        <f>Police!U290</f>
        <v>22257.91623024533</v>
      </c>
      <c r="V290" s="336">
        <f t="shared" si="24"/>
        <v>282895.71906261047</v>
      </c>
      <c r="W290" s="180"/>
      <c r="X290" s="180"/>
      <c r="Y290" s="180"/>
      <c r="Z290" s="15"/>
    </row>
    <row r="291" spans="1:26" x14ac:dyDescent="0.25">
      <c r="A291" s="111">
        <f>Données!A291</f>
        <v>5921</v>
      </c>
      <c r="B291" s="119" t="str">
        <f>Données!B291</f>
        <v>Molondin</v>
      </c>
      <c r="C291" s="307">
        <f>Ressources!H291</f>
        <v>-354559.36500800477</v>
      </c>
      <c r="D291" s="307">
        <f>Ressources!L291</f>
        <v>0</v>
      </c>
      <c r="E291" s="335">
        <f>Ressources!T291</f>
        <v>-34535.662518531033</v>
      </c>
      <c r="F291" s="308">
        <f t="shared" si="20"/>
        <v>-389095.02752653579</v>
      </c>
      <c r="G291" s="307">
        <f>'Besoins structurels'!I291</f>
        <v>-37662</v>
      </c>
      <c r="H291" s="307">
        <f>'Besoins structurels'!N291</f>
        <v>0</v>
      </c>
      <c r="I291" s="307">
        <f>'Besoins structurels'!V291</f>
        <v>-54972</v>
      </c>
      <c r="J291" s="309">
        <f t="shared" si="21"/>
        <v>-92634</v>
      </c>
      <c r="K291" s="307">
        <f>'Charges des villes'!N291</f>
        <v>120721.79857577127</v>
      </c>
      <c r="L291" s="307">
        <f>'Charges des villes'!U291</f>
        <v>26300.750056061752</v>
      </c>
      <c r="M291" s="302">
        <f t="shared" si="22"/>
        <v>147022.54863183302</v>
      </c>
      <c r="N291" s="308">
        <f>-VLOOKUP(A291,Paramètres!$B$23:$C$322,2,FALSE)*$N$5</f>
        <v>0</v>
      </c>
      <c r="O291" s="322"/>
      <c r="P291" s="602">
        <f t="shared" si="23"/>
        <v>-334706.47889470274</v>
      </c>
      <c r="Q291" s="603"/>
      <c r="R291" s="603"/>
      <c r="S291" s="604"/>
      <c r="T291" s="308">
        <f>PCS!D291</f>
        <v>253142.34950117214</v>
      </c>
      <c r="U291" s="303">
        <f>Police!U291</f>
        <v>37693.892551993835</v>
      </c>
      <c r="V291" s="336">
        <f t="shared" si="24"/>
        <v>-43870.236841536767</v>
      </c>
      <c r="W291" s="180"/>
      <c r="X291" s="180"/>
      <c r="Y291" s="180"/>
      <c r="Z291" s="15"/>
    </row>
    <row r="292" spans="1:26" x14ac:dyDescent="0.25">
      <c r="A292" s="111">
        <f>Données!A292</f>
        <v>5922</v>
      </c>
      <c r="B292" s="119" t="str">
        <f>Données!B292</f>
        <v>Montagny-près-Yverdon</v>
      </c>
      <c r="C292" s="307">
        <f>Ressources!H292</f>
        <v>27054.116320546345</v>
      </c>
      <c r="D292" s="307">
        <f>Ressources!L292</f>
        <v>0</v>
      </c>
      <c r="E292" s="335">
        <f>Ressources!T292</f>
        <v>67665.323099108296</v>
      </c>
      <c r="F292" s="308">
        <f t="shared" si="20"/>
        <v>94719.439419654635</v>
      </c>
      <c r="G292" s="307">
        <f>'Besoins structurels'!I292</f>
        <v>0</v>
      </c>
      <c r="H292" s="307">
        <f>'Besoins structurels'!N292</f>
        <v>0</v>
      </c>
      <c r="I292" s="307">
        <f>'Besoins structurels'!V292</f>
        <v>0</v>
      </c>
      <c r="J292" s="309">
        <f t="shared" si="21"/>
        <v>0</v>
      </c>
      <c r="K292" s="307">
        <f>'Charges des villes'!N292</f>
        <v>356593.62040843203</v>
      </c>
      <c r="L292" s="307">
        <f>'Charges des villes'!U292</f>
        <v>-100236.23060363298</v>
      </c>
      <c r="M292" s="302">
        <f t="shared" si="22"/>
        <v>256357.38980479905</v>
      </c>
      <c r="N292" s="308">
        <f>-VLOOKUP(A292,Paramètres!$B$23:$C$322,2,FALSE)*$N$5</f>
        <v>0</v>
      </c>
      <c r="O292" s="322"/>
      <c r="P292" s="602">
        <f t="shared" si="23"/>
        <v>351076.82922445366</v>
      </c>
      <c r="Q292" s="603"/>
      <c r="R292" s="603"/>
      <c r="S292" s="604"/>
      <c r="T292" s="308">
        <f>PCS!D292</f>
        <v>747743.55544961616</v>
      </c>
      <c r="U292" s="303">
        <f>Police!U292</f>
        <v>111341.95953819717</v>
      </c>
      <c r="V292" s="336">
        <f t="shared" si="24"/>
        <v>1210162.3442122671</v>
      </c>
      <c r="W292" s="180"/>
      <c r="X292" s="180"/>
      <c r="Y292" s="180"/>
      <c r="Z292" s="15"/>
    </row>
    <row r="293" spans="1:26" x14ac:dyDescent="0.25">
      <c r="A293" s="111">
        <f>Données!A293</f>
        <v>5923</v>
      </c>
      <c r="B293" s="119" t="str">
        <f>Données!B293</f>
        <v>Oppens</v>
      </c>
      <c r="C293" s="307">
        <f>Ressources!H293</f>
        <v>-257763.3439834234</v>
      </c>
      <c r="D293" s="307">
        <f>Ressources!L293</f>
        <v>0</v>
      </c>
      <c r="E293" s="335">
        <f>Ressources!T293</f>
        <v>-37831.204716248991</v>
      </c>
      <c r="F293" s="308">
        <f t="shared" si="20"/>
        <v>-295594.54869967239</v>
      </c>
      <c r="G293" s="307">
        <f>'Besoins structurels'!I293</f>
        <v>-21786</v>
      </c>
      <c r="H293" s="307">
        <f>'Besoins structurels'!N293</f>
        <v>0</v>
      </c>
      <c r="I293" s="307">
        <f>'Besoins structurels'!V293</f>
        <v>-5649</v>
      </c>
      <c r="J293" s="309">
        <f t="shared" si="21"/>
        <v>-27435</v>
      </c>
      <c r="K293" s="307">
        <f>'Charges des villes'!N293</f>
        <v>93327.23659126932</v>
      </c>
      <c r="L293" s="307">
        <f>'Charges des villes'!U293</f>
        <v>20332.502927955429</v>
      </c>
      <c r="M293" s="302">
        <f t="shared" si="22"/>
        <v>113659.73951922475</v>
      </c>
      <c r="N293" s="308">
        <f>-VLOOKUP(A293,Paramètres!$B$23:$C$322,2,FALSE)*$N$5</f>
        <v>-14600</v>
      </c>
      <c r="O293" s="322"/>
      <c r="P293" s="602">
        <f t="shared" si="23"/>
        <v>-223969.80918044766</v>
      </c>
      <c r="Q293" s="603"/>
      <c r="R293" s="603"/>
      <c r="S293" s="604"/>
      <c r="T293" s="308">
        <f>PCS!D293</f>
        <v>195698.50865282922</v>
      </c>
      <c r="U293" s="303">
        <f>Police!U293</f>
        <v>29140.278472887541</v>
      </c>
      <c r="V293" s="336">
        <f t="shared" si="24"/>
        <v>868.97794526910002</v>
      </c>
      <c r="W293" s="180"/>
      <c r="X293" s="180"/>
      <c r="Y293" s="180"/>
      <c r="Z293" s="15"/>
    </row>
    <row r="294" spans="1:26" x14ac:dyDescent="0.25">
      <c r="A294" s="111">
        <f>Données!A294</f>
        <v>5924</v>
      </c>
      <c r="B294" s="119" t="str">
        <f>Données!B294</f>
        <v>Orges</v>
      </c>
      <c r="C294" s="307">
        <f>Ressources!H294</f>
        <v>-263484.71352576936</v>
      </c>
      <c r="D294" s="307">
        <f>Ressources!L294</f>
        <v>0</v>
      </c>
      <c r="E294" s="335">
        <f>Ressources!T294</f>
        <v>-27898.786029649636</v>
      </c>
      <c r="F294" s="308">
        <f t="shared" si="20"/>
        <v>-291383.49955541897</v>
      </c>
      <c r="G294" s="307">
        <f>'Besoins structurels'!I294</f>
        <v>-9270</v>
      </c>
      <c r="H294" s="307">
        <f>'Besoins structurels'!N294</f>
        <v>0</v>
      </c>
      <c r="I294" s="307">
        <f>'Besoins structurels'!V294</f>
        <v>0</v>
      </c>
      <c r="J294" s="309">
        <f t="shared" si="21"/>
        <v>-9270</v>
      </c>
      <c r="K294" s="307">
        <f>'Charges des villes'!N294</f>
        <v>193154.87772123405</v>
      </c>
      <c r="L294" s="307">
        <f>'Charges des villes'!U294</f>
        <v>42081.200089698803</v>
      </c>
      <c r="M294" s="302">
        <f t="shared" si="22"/>
        <v>235236.07781093285</v>
      </c>
      <c r="N294" s="308">
        <f>-VLOOKUP(A294,Paramètres!$B$23:$C$322,2,FALSE)*$N$5</f>
        <v>0</v>
      </c>
      <c r="O294" s="322"/>
      <c r="P294" s="602">
        <f t="shared" si="23"/>
        <v>-65417.421744486113</v>
      </c>
      <c r="Q294" s="603"/>
      <c r="R294" s="603"/>
      <c r="S294" s="604"/>
      <c r="T294" s="308">
        <f>PCS!D294</f>
        <v>405027.75920187542</v>
      </c>
      <c r="U294" s="303">
        <f>Police!U294</f>
        <v>60310.228083190137</v>
      </c>
      <c r="V294" s="336">
        <f t="shared" si="24"/>
        <v>399920.5655405795</v>
      </c>
      <c r="W294" s="180"/>
      <c r="X294" s="180"/>
      <c r="Y294" s="180"/>
      <c r="Z294" s="15"/>
    </row>
    <row r="295" spans="1:26" x14ac:dyDescent="0.25">
      <c r="A295" s="111">
        <f>Données!A295</f>
        <v>5925</v>
      </c>
      <c r="B295" s="119" t="str">
        <f>Données!B295</f>
        <v>Orzens</v>
      </c>
      <c r="C295" s="307">
        <f>Ressources!H295</f>
        <v>-267638.16871649493</v>
      </c>
      <c r="D295" s="307">
        <f>Ressources!L295</f>
        <v>0</v>
      </c>
      <c r="E295" s="335">
        <f>Ressources!T295</f>
        <v>115245.98821537424</v>
      </c>
      <c r="F295" s="308">
        <f t="shared" si="20"/>
        <v>-152392.18050112069</v>
      </c>
      <c r="G295" s="307">
        <f>'Besoins structurels'!I295</f>
        <v>-27174</v>
      </c>
      <c r="H295" s="307">
        <f>'Besoins structurels'!N295</f>
        <v>0</v>
      </c>
      <c r="I295" s="307">
        <f>'Besoins structurels'!V295</f>
        <v>0</v>
      </c>
      <c r="J295" s="309">
        <f t="shared" si="21"/>
        <v>-27174</v>
      </c>
      <c r="K295" s="307">
        <f>'Charges des villes'!N295</f>
        <v>100291.95573987151</v>
      </c>
      <c r="L295" s="307">
        <f>'Charges des villes'!U295</f>
        <v>21849.853892728224</v>
      </c>
      <c r="M295" s="302">
        <f t="shared" si="22"/>
        <v>122141.80963259973</v>
      </c>
      <c r="N295" s="308">
        <f>-VLOOKUP(A295,Paramètres!$B$23:$C$322,2,FALSE)*$N$5</f>
        <v>0</v>
      </c>
      <c r="O295" s="322"/>
      <c r="P295" s="602">
        <f t="shared" si="23"/>
        <v>-57424.370868520957</v>
      </c>
      <c r="Q295" s="603"/>
      <c r="R295" s="603"/>
      <c r="S295" s="604"/>
      <c r="T295" s="308">
        <f>PCS!D295</f>
        <v>210302.87497020455</v>
      </c>
      <c r="U295" s="303">
        <f>Police!U295</f>
        <v>31314.926120117958</v>
      </c>
      <c r="V295" s="336">
        <f t="shared" si="24"/>
        <v>184193.43022180154</v>
      </c>
      <c r="W295" s="180"/>
      <c r="X295" s="180"/>
      <c r="Y295" s="180"/>
      <c r="Z295" s="15"/>
    </row>
    <row r="296" spans="1:26" x14ac:dyDescent="0.25">
      <c r="A296" s="111">
        <f>Données!A296</f>
        <v>5926</v>
      </c>
      <c r="B296" s="119" t="str">
        <f>Données!B296</f>
        <v>Pomy</v>
      </c>
      <c r="C296" s="307">
        <f>Ressources!H296</f>
        <v>-912394.67136549216</v>
      </c>
      <c r="D296" s="307">
        <f>Ressources!L296</f>
        <v>0</v>
      </c>
      <c r="E296" s="335">
        <f>Ressources!T296</f>
        <v>-156310.12598750787</v>
      </c>
      <c r="F296" s="308">
        <f t="shared" si="20"/>
        <v>-1068704.7973529999</v>
      </c>
      <c r="G296" s="307">
        <f>'Besoins structurels'!I296</f>
        <v>0</v>
      </c>
      <c r="H296" s="307">
        <f>'Besoins structurels'!N296</f>
        <v>0</v>
      </c>
      <c r="I296" s="307">
        <f>'Besoins structurels'!V296</f>
        <v>-118478</v>
      </c>
      <c r="J296" s="309">
        <f t="shared" si="21"/>
        <v>-118478</v>
      </c>
      <c r="K296" s="307">
        <f>'Charges des villes'!N296</f>
        <v>419740.40735575859</v>
      </c>
      <c r="L296" s="307">
        <f>'Charges des villes'!U296</f>
        <v>91445.684810307008</v>
      </c>
      <c r="M296" s="302">
        <f t="shared" si="22"/>
        <v>511186.09216606559</v>
      </c>
      <c r="N296" s="308">
        <f>-VLOOKUP(A296,Paramètres!$B$23:$C$322,2,FALSE)*$N$5</f>
        <v>0</v>
      </c>
      <c r="O296" s="322"/>
      <c r="P296" s="602">
        <f t="shared" si="23"/>
        <v>-675996.70518693433</v>
      </c>
      <c r="Q296" s="603"/>
      <c r="R296" s="603"/>
      <c r="S296" s="604"/>
      <c r="T296" s="308">
        <f>PCS!D296</f>
        <v>880156.47672715236</v>
      </c>
      <c r="U296" s="303">
        <f>Police!U296</f>
        <v>27190.751719110507</v>
      </c>
      <c r="V296" s="336">
        <f t="shared" si="24"/>
        <v>231350.52325932853</v>
      </c>
      <c r="W296" s="180"/>
      <c r="X296" s="180"/>
      <c r="Y296" s="180"/>
      <c r="Z296" s="15"/>
    </row>
    <row r="297" spans="1:26" x14ac:dyDescent="0.25">
      <c r="A297" s="111">
        <f>Données!A297</f>
        <v>5928</v>
      </c>
      <c r="B297" s="119" t="str">
        <f>Données!B297</f>
        <v>Rovray</v>
      </c>
      <c r="C297" s="307">
        <f>Ressources!H297</f>
        <v>-271450.87958775932</v>
      </c>
      <c r="D297" s="307">
        <f>Ressources!L297</f>
        <v>0</v>
      </c>
      <c r="E297" s="335">
        <f>Ressources!T297</f>
        <v>-50821.743302573632</v>
      </c>
      <c r="F297" s="308">
        <f t="shared" si="20"/>
        <v>-322272.62289033295</v>
      </c>
      <c r="G297" s="307">
        <f>'Besoins structurels'!I297</f>
        <v>-18192</v>
      </c>
      <c r="H297" s="307">
        <f>'Besoins structurels'!N297</f>
        <v>0</v>
      </c>
      <c r="I297" s="307">
        <f>'Besoins structurels'!V297</f>
        <v>-66463</v>
      </c>
      <c r="J297" s="309">
        <f t="shared" si="21"/>
        <v>-84655</v>
      </c>
      <c r="K297" s="307">
        <f>'Charges des villes'!N297</f>
        <v>91934.292761548888</v>
      </c>
      <c r="L297" s="307">
        <f>'Charges des villes'!U297</f>
        <v>20029.03273500087</v>
      </c>
      <c r="M297" s="302">
        <f t="shared" si="22"/>
        <v>111963.32549654976</v>
      </c>
      <c r="N297" s="308">
        <f>-VLOOKUP(A297,Paramètres!$B$23:$C$322,2,FALSE)*$N$5</f>
        <v>0</v>
      </c>
      <c r="O297" s="322"/>
      <c r="P297" s="602">
        <f t="shared" si="23"/>
        <v>-294964.29739378317</v>
      </c>
      <c r="Q297" s="603"/>
      <c r="R297" s="603"/>
      <c r="S297" s="604"/>
      <c r="T297" s="308">
        <f>PCS!D297</f>
        <v>192777.63538935417</v>
      </c>
      <c r="U297" s="303">
        <f>Police!U297</f>
        <v>28705.348943441459</v>
      </c>
      <c r="V297" s="336">
        <f t="shared" si="24"/>
        <v>-73481.313060987537</v>
      </c>
      <c r="W297" s="180"/>
      <c r="X297" s="180"/>
      <c r="Y297" s="180"/>
      <c r="Z297" s="15"/>
    </row>
    <row r="298" spans="1:26" x14ac:dyDescent="0.25">
      <c r="A298" s="111">
        <f>Données!A298</f>
        <v>5929</v>
      </c>
      <c r="B298" s="119" t="str">
        <f>Données!B298</f>
        <v>Suchy</v>
      </c>
      <c r="C298" s="307">
        <f>Ressources!H298</f>
        <v>-603933.06166816282</v>
      </c>
      <c r="D298" s="307">
        <f>Ressources!L298</f>
        <v>0</v>
      </c>
      <c r="E298" s="335">
        <f>Ressources!T298</f>
        <v>-122173.08166328019</v>
      </c>
      <c r="F298" s="308">
        <f t="shared" si="20"/>
        <v>-726106.14333144296</v>
      </c>
      <c r="G298" s="307">
        <f>'Besoins structurels'!I298</f>
        <v>-16122</v>
      </c>
      <c r="H298" s="307">
        <f>'Besoins structurels'!N298</f>
        <v>0</v>
      </c>
      <c r="I298" s="307">
        <f>'Besoins structurels'!V298</f>
        <v>-109297</v>
      </c>
      <c r="J298" s="309">
        <f t="shared" si="21"/>
        <v>-125419</v>
      </c>
      <c r="K298" s="307">
        <f>'Charges des villes'!N298</f>
        <v>312019.41785737802</v>
      </c>
      <c r="L298" s="307">
        <f>'Charges des villes'!U298</f>
        <v>67977.323221821134</v>
      </c>
      <c r="M298" s="302">
        <f t="shared" si="22"/>
        <v>379996.74107919913</v>
      </c>
      <c r="N298" s="308">
        <f>-VLOOKUP(A298,Paramètres!$B$23:$C$322,2,FALSE)*$N$5</f>
        <v>0</v>
      </c>
      <c r="O298" s="322"/>
      <c r="P298" s="602">
        <f t="shared" si="23"/>
        <v>-471528.40225224383</v>
      </c>
      <c r="Q298" s="603"/>
      <c r="R298" s="603"/>
      <c r="S298" s="604"/>
      <c r="T298" s="308">
        <f>PCS!D298</f>
        <v>654275.61101841414</v>
      </c>
      <c r="U298" s="303">
        <f>Police!U298</f>
        <v>20212.594198276838</v>
      </c>
      <c r="V298" s="336">
        <f t="shared" si="24"/>
        <v>202959.80296444715</v>
      </c>
      <c r="W298" s="180"/>
      <c r="X298" s="180"/>
      <c r="Y298" s="180"/>
      <c r="Z298" s="15"/>
    </row>
    <row r="299" spans="1:26" x14ac:dyDescent="0.25">
      <c r="A299" s="111">
        <f>Données!A299</f>
        <v>5930</v>
      </c>
      <c r="B299" s="119" t="str">
        <f>Données!B299</f>
        <v>Suscévaz</v>
      </c>
      <c r="C299" s="307">
        <f>Ressources!H299</f>
        <v>-356643.56270711613</v>
      </c>
      <c r="D299" s="307">
        <f>Ressources!L299</f>
        <v>0</v>
      </c>
      <c r="E299" s="335">
        <f>Ressources!T299</f>
        <v>-45380.948932206389</v>
      </c>
      <c r="F299" s="308">
        <f t="shared" si="20"/>
        <v>-402024.5116393225</v>
      </c>
      <c r="G299" s="307">
        <f>'Besoins structurels'!I299</f>
        <v>-20997</v>
      </c>
      <c r="H299" s="307">
        <f>'Besoins structurels'!N299</f>
        <v>0</v>
      </c>
      <c r="I299" s="307">
        <f>'Besoins structurels'!V299</f>
        <v>-9086</v>
      </c>
      <c r="J299" s="309">
        <f t="shared" si="21"/>
        <v>-30083</v>
      </c>
      <c r="K299" s="307">
        <f>'Charges des villes'!N299</f>
        <v>122114.74240549169</v>
      </c>
      <c r="L299" s="307">
        <f>'Charges des villes'!U299</f>
        <v>26604.220249016307</v>
      </c>
      <c r="M299" s="302">
        <f t="shared" si="22"/>
        <v>148718.96265450801</v>
      </c>
      <c r="N299" s="308">
        <f>-VLOOKUP(A299,Paramètres!$B$23:$C$322,2,FALSE)*$N$5</f>
        <v>0</v>
      </c>
      <c r="O299" s="322"/>
      <c r="P299" s="602">
        <f t="shared" si="23"/>
        <v>-283388.54898481449</v>
      </c>
      <c r="Q299" s="603"/>
      <c r="R299" s="603"/>
      <c r="S299" s="604"/>
      <c r="T299" s="308">
        <f>PCS!D299</f>
        <v>256063.22276464722</v>
      </c>
      <c r="U299" s="303">
        <f>Police!U299</f>
        <v>7910.5837412898936</v>
      </c>
      <c r="V299" s="336">
        <f t="shared" si="24"/>
        <v>-19414.742478877382</v>
      </c>
      <c r="W299" s="180"/>
      <c r="X299" s="180"/>
      <c r="Y299" s="180"/>
      <c r="Z299" s="15"/>
    </row>
    <row r="300" spans="1:26" x14ac:dyDescent="0.25">
      <c r="A300" s="111">
        <f>Données!A300</f>
        <v>5931</v>
      </c>
      <c r="B300" s="119" t="str">
        <f>Données!B300</f>
        <v>Treycovagnes</v>
      </c>
      <c r="C300" s="307">
        <f>Ressources!H300</f>
        <v>-619670.81390836451</v>
      </c>
      <c r="D300" s="307">
        <f>Ressources!L300</f>
        <v>0</v>
      </c>
      <c r="E300" s="335">
        <f>Ressources!T300</f>
        <v>-79137.909094611809</v>
      </c>
      <c r="F300" s="308">
        <f t="shared" si="20"/>
        <v>-698808.72300297627</v>
      </c>
      <c r="G300" s="307">
        <f>'Besoins structurels'!I300</f>
        <v>0</v>
      </c>
      <c r="H300" s="307">
        <f>'Besoins structurels'!N300</f>
        <v>0</v>
      </c>
      <c r="I300" s="307">
        <f>'Besoins structurels'!V300</f>
        <v>0</v>
      </c>
      <c r="J300" s="309">
        <f t="shared" si="21"/>
        <v>0</v>
      </c>
      <c r="K300" s="307">
        <f>'Charges des villes'!N300</f>
        <v>240514.96793172887</v>
      </c>
      <c r="L300" s="307">
        <f>'Charges des villes'!U300</f>
        <v>52399.186650153795</v>
      </c>
      <c r="M300" s="302">
        <f t="shared" si="22"/>
        <v>292914.15458188264</v>
      </c>
      <c r="N300" s="308">
        <f>-VLOOKUP(A300,Paramètres!$B$23:$C$322,2,FALSE)*$N$5</f>
        <v>0</v>
      </c>
      <c r="O300" s="322"/>
      <c r="P300" s="602">
        <f t="shared" si="23"/>
        <v>-405894.56842109363</v>
      </c>
      <c r="Q300" s="603"/>
      <c r="R300" s="603"/>
      <c r="S300" s="604"/>
      <c r="T300" s="308">
        <f>PCS!D300</f>
        <v>504337.4501600276</v>
      </c>
      <c r="U300" s="303">
        <f>Police!U300</f>
        <v>15580.54136117173</v>
      </c>
      <c r="V300" s="336">
        <f t="shared" si="24"/>
        <v>114023.42310010569</v>
      </c>
      <c r="W300" s="180"/>
      <c r="X300" s="180"/>
      <c r="Y300" s="180"/>
      <c r="Z300" s="15"/>
    </row>
    <row r="301" spans="1:26" x14ac:dyDescent="0.25">
      <c r="A301" s="111">
        <f>Données!A301</f>
        <v>5932</v>
      </c>
      <c r="B301" s="119" t="str">
        <f>Données!B301</f>
        <v>Ursins</v>
      </c>
      <c r="C301" s="307">
        <f>Ressources!H301</f>
        <v>-78798.961467950387</v>
      </c>
      <c r="D301" s="307">
        <f>Ressources!L301</f>
        <v>0</v>
      </c>
      <c r="E301" s="335">
        <f>Ressources!T301</f>
        <v>-37520.706968102088</v>
      </c>
      <c r="F301" s="308">
        <f t="shared" si="20"/>
        <v>-116319.66843605248</v>
      </c>
      <c r="G301" s="307">
        <f>'Besoins structurels'!I301</f>
        <v>-17640</v>
      </c>
      <c r="H301" s="307">
        <f>'Besoins structurels'!N301</f>
        <v>0</v>
      </c>
      <c r="I301" s="307">
        <f>'Besoins structurels'!V301</f>
        <v>0</v>
      </c>
      <c r="J301" s="309">
        <f t="shared" si="21"/>
        <v>-17640</v>
      </c>
      <c r="K301" s="307">
        <f>'Charges des villes'!N301</f>
        <v>105399.41644884646</v>
      </c>
      <c r="L301" s="307">
        <f>'Charges des villes'!U301</f>
        <v>22962.577933561606</v>
      </c>
      <c r="M301" s="302">
        <f t="shared" si="22"/>
        <v>128361.99438240807</v>
      </c>
      <c r="N301" s="308">
        <f>-VLOOKUP(A301,Paramètres!$B$23:$C$322,2,FALSE)*$N$5</f>
        <v>0</v>
      </c>
      <c r="O301" s="322"/>
      <c r="P301" s="602">
        <f t="shared" si="23"/>
        <v>-5597.6740536444122</v>
      </c>
      <c r="Q301" s="603"/>
      <c r="R301" s="603"/>
      <c r="S301" s="604"/>
      <c r="T301" s="308">
        <f>PCS!D301</f>
        <v>221012.74360294646</v>
      </c>
      <c r="U301" s="303">
        <f>Police!U301</f>
        <v>32909.667728086926</v>
      </c>
      <c r="V301" s="336">
        <f t="shared" si="24"/>
        <v>248324.73727738898</v>
      </c>
      <c r="W301" s="180"/>
      <c r="X301" s="180"/>
      <c r="Y301" s="180"/>
      <c r="Z301" s="15"/>
    </row>
    <row r="302" spans="1:26" x14ac:dyDescent="0.25">
      <c r="A302" s="111">
        <f>Données!A302</f>
        <v>5933</v>
      </c>
      <c r="B302" s="119" t="str">
        <f>Données!B302</f>
        <v>Valeyres-sous-Montagny</v>
      </c>
      <c r="C302" s="307">
        <f>Ressources!H302</f>
        <v>-587459.48407812708</v>
      </c>
      <c r="D302" s="307">
        <f>Ressources!L302</f>
        <v>0</v>
      </c>
      <c r="E302" s="335">
        <f>Ressources!T302</f>
        <v>-109287.73286841057</v>
      </c>
      <c r="F302" s="308">
        <f t="shared" si="20"/>
        <v>-696747.21694653761</v>
      </c>
      <c r="G302" s="307">
        <f>'Besoins structurels'!I302</f>
        <v>0</v>
      </c>
      <c r="H302" s="307">
        <f>'Besoins structurels'!N302</f>
        <v>0</v>
      </c>
      <c r="I302" s="307">
        <f>'Besoins structurels'!V302</f>
        <v>0</v>
      </c>
      <c r="J302" s="309">
        <f t="shared" si="21"/>
        <v>0</v>
      </c>
      <c r="K302" s="307">
        <f>'Charges des villes'!N302</f>
        <v>332913.57530318463</v>
      </c>
      <c r="L302" s="307">
        <f>'Charges des villes'!U302</f>
        <v>72529.376116139523</v>
      </c>
      <c r="M302" s="302">
        <f t="shared" si="22"/>
        <v>405442.95141932415</v>
      </c>
      <c r="N302" s="308">
        <f>-VLOOKUP(A302,Paramètres!$B$23:$C$322,2,FALSE)*$N$5</f>
        <v>-102900</v>
      </c>
      <c r="O302" s="322"/>
      <c r="P302" s="602">
        <f t="shared" si="23"/>
        <v>-394204.26552721346</v>
      </c>
      <c r="Q302" s="603"/>
      <c r="R302" s="603"/>
      <c r="S302" s="604"/>
      <c r="T302" s="308">
        <f>PCS!D302</f>
        <v>698088.70997054013</v>
      </c>
      <c r="U302" s="303">
        <f>Police!U302</f>
        <v>103948.15753761376</v>
      </c>
      <c r="V302" s="336">
        <f t="shared" si="24"/>
        <v>407832.60198094044</v>
      </c>
      <c r="W302" s="180"/>
      <c r="X302" s="180"/>
      <c r="Y302" s="180"/>
      <c r="Z302" s="15"/>
    </row>
    <row r="303" spans="1:26" x14ac:dyDescent="0.25">
      <c r="A303" s="111">
        <f>Données!A303</f>
        <v>5934</v>
      </c>
      <c r="B303" s="119" t="str">
        <f>Données!B303</f>
        <v>Valeyres-sous-Ursins</v>
      </c>
      <c r="C303" s="307">
        <f>Ressources!H303</f>
        <v>-248574.37958714535</v>
      </c>
      <c r="D303" s="307">
        <f>Ressources!L303</f>
        <v>0</v>
      </c>
      <c r="E303" s="335">
        <f>Ressources!T303</f>
        <v>-50575.731025651854</v>
      </c>
      <c r="F303" s="308">
        <f t="shared" si="20"/>
        <v>-299150.1106127972</v>
      </c>
      <c r="G303" s="307">
        <f>'Besoins structurels'!I303</f>
        <v>-12152</v>
      </c>
      <c r="H303" s="307">
        <f>'Besoins structurels'!N303</f>
        <v>0</v>
      </c>
      <c r="I303" s="307">
        <f>'Besoins structurels'!V303</f>
        <v>0</v>
      </c>
      <c r="J303" s="309">
        <f t="shared" si="21"/>
        <v>-12152</v>
      </c>
      <c r="K303" s="307">
        <f>'Charges des villes'!N303</f>
        <v>104470.78722903282</v>
      </c>
      <c r="L303" s="307">
        <f>'Charges des villes'!U303</f>
        <v>22760.264471591898</v>
      </c>
      <c r="M303" s="302">
        <f t="shared" si="22"/>
        <v>127231.05170062472</v>
      </c>
      <c r="N303" s="308">
        <f>-VLOOKUP(A303,Paramètres!$B$23:$C$322,2,FALSE)*$N$5</f>
        <v>0</v>
      </c>
      <c r="O303" s="322"/>
      <c r="P303" s="602">
        <f t="shared" si="23"/>
        <v>-184071.05891217248</v>
      </c>
      <c r="Q303" s="603"/>
      <c r="R303" s="603"/>
      <c r="S303" s="604"/>
      <c r="T303" s="308">
        <f>PCS!D303</f>
        <v>219065.49476062972</v>
      </c>
      <c r="U303" s="303">
        <f>Police!U303</f>
        <v>32619.714708456209</v>
      </c>
      <c r="V303" s="336">
        <f t="shared" si="24"/>
        <v>67614.150556913461</v>
      </c>
      <c r="W303" s="180"/>
      <c r="X303" s="180"/>
      <c r="Y303" s="180"/>
      <c r="Z303" s="15"/>
    </row>
    <row r="304" spans="1:26" x14ac:dyDescent="0.25">
      <c r="A304" s="111">
        <f>Données!A304</f>
        <v>5935</v>
      </c>
      <c r="B304" s="119" t="str">
        <f>Données!B304</f>
        <v>Villars-Epeney</v>
      </c>
      <c r="C304" s="307">
        <f>Ressources!H304</f>
        <v>50685.522125781659</v>
      </c>
      <c r="D304" s="307">
        <f>Ressources!L304</f>
        <v>0</v>
      </c>
      <c r="E304" s="335">
        <f>Ressources!T304</f>
        <v>8332.0986364619894</v>
      </c>
      <c r="F304" s="308">
        <f t="shared" si="20"/>
        <v>59017.620762243649</v>
      </c>
      <c r="G304" s="307">
        <f>'Besoins structurels'!I304</f>
        <v>-497</v>
      </c>
      <c r="H304" s="307">
        <f>'Besoins structurels'!N304</f>
        <v>0</v>
      </c>
      <c r="I304" s="307">
        <f>'Besoins structurels'!V304</f>
        <v>-446</v>
      </c>
      <c r="J304" s="309">
        <f t="shared" si="21"/>
        <v>-943</v>
      </c>
      <c r="K304" s="307">
        <f>'Charges des villes'!N304</f>
        <v>50610.292479842567</v>
      </c>
      <c r="L304" s="307">
        <f>'Charges des villes'!U304</f>
        <v>11026.083677348965</v>
      </c>
      <c r="M304" s="302">
        <f t="shared" si="22"/>
        <v>61636.376157191531</v>
      </c>
      <c r="N304" s="308">
        <f>-VLOOKUP(A304,Paramètres!$B$23:$C$322,2,FALSE)*$N$5</f>
        <v>0</v>
      </c>
      <c r="O304" s="322"/>
      <c r="P304" s="602">
        <f t="shared" si="23"/>
        <v>119710.99691943519</v>
      </c>
      <c r="Q304" s="603"/>
      <c r="R304" s="603"/>
      <c r="S304" s="604"/>
      <c r="T304" s="308">
        <f>PCS!D304</f>
        <v>106125.06190626063</v>
      </c>
      <c r="U304" s="303">
        <f>Police!U304</f>
        <v>15802.439569874339</v>
      </c>
      <c r="V304" s="336">
        <f t="shared" si="24"/>
        <v>241638.49839557018</v>
      </c>
      <c r="W304" s="180"/>
      <c r="X304" s="180"/>
      <c r="Y304" s="180"/>
      <c r="Z304" s="15"/>
    </row>
    <row r="305" spans="1:26" x14ac:dyDescent="0.25">
      <c r="A305" s="111">
        <f>Données!A305</f>
        <v>5937</v>
      </c>
      <c r="B305" s="119" t="str">
        <f>Données!B305</f>
        <v>Vugelles-La Mothe</v>
      </c>
      <c r="C305" s="307">
        <f>Ressources!H305</f>
        <v>-206603.40956329866</v>
      </c>
      <c r="D305" s="307">
        <f>Ressources!L305</f>
        <v>-2480</v>
      </c>
      <c r="E305" s="335">
        <f>Ressources!T305</f>
        <v>-35639.881913966943</v>
      </c>
      <c r="F305" s="308">
        <f t="shared" si="20"/>
        <v>-244723.29147726559</v>
      </c>
      <c r="G305" s="307">
        <f>'Besoins structurels'!I305</f>
        <v>-20731</v>
      </c>
      <c r="H305" s="307">
        <f>'Besoins structurels'!N305</f>
        <v>0</v>
      </c>
      <c r="I305" s="307">
        <f>'Besoins structurels'!V305</f>
        <v>0</v>
      </c>
      <c r="J305" s="309">
        <f t="shared" si="21"/>
        <v>-20731</v>
      </c>
      <c r="K305" s="307">
        <f>'Charges des villes'!N305</f>
        <v>65932.674606767396</v>
      </c>
      <c r="L305" s="307">
        <f>'Charges des villes'!U305</f>
        <v>14364.25579984911</v>
      </c>
      <c r="M305" s="302">
        <f t="shared" si="22"/>
        <v>80296.930406616506</v>
      </c>
      <c r="N305" s="308">
        <f>-VLOOKUP(A305,Paramètres!$B$23:$C$322,2,FALSE)*$N$5</f>
        <v>0</v>
      </c>
      <c r="O305" s="322"/>
      <c r="P305" s="602">
        <f t="shared" si="23"/>
        <v>-185157.36107064909</v>
      </c>
      <c r="Q305" s="603"/>
      <c r="R305" s="603"/>
      <c r="S305" s="604"/>
      <c r="T305" s="308">
        <f>PCS!D305</f>
        <v>138254.66780448632</v>
      </c>
      <c r="U305" s="303">
        <f>Police!U305</f>
        <v>20586.664393781251</v>
      </c>
      <c r="V305" s="336">
        <f t="shared" si="24"/>
        <v>-26316.028872381514</v>
      </c>
      <c r="W305" s="180"/>
      <c r="X305" s="180"/>
      <c r="Y305" s="180"/>
      <c r="Z305" s="15"/>
    </row>
    <row r="306" spans="1:26" x14ac:dyDescent="0.25">
      <c r="A306" s="111">
        <f>Données!A306</f>
        <v>5938</v>
      </c>
      <c r="B306" s="119" t="str">
        <f>Données!B306</f>
        <v>Yverdon-les-Bains</v>
      </c>
      <c r="C306" s="307">
        <f>Ressources!H306</f>
        <v>-41702976.195586629</v>
      </c>
      <c r="D306" s="307">
        <f>Ressources!L306</f>
        <v>0</v>
      </c>
      <c r="E306" s="335">
        <f>Ressources!T306</f>
        <v>-1182300.5694886521</v>
      </c>
      <c r="F306" s="308">
        <f t="shared" si="20"/>
        <v>-42885276.765075281</v>
      </c>
      <c r="G306" s="307">
        <f>'Besoins structurels'!I306</f>
        <v>0</v>
      </c>
      <c r="H306" s="307">
        <f>'Besoins structurels'!N306</f>
        <v>0</v>
      </c>
      <c r="I306" s="307">
        <f>'Besoins structurels'!V306</f>
        <v>0</v>
      </c>
      <c r="J306" s="309">
        <f t="shared" si="21"/>
        <v>0</v>
      </c>
      <c r="K306" s="307">
        <f>'Charges des villes'!N306</f>
        <v>-9287254.835961327</v>
      </c>
      <c r="L306" s="307">
        <f>'Charges des villes'!U306</f>
        <v>-771561.43186350167</v>
      </c>
      <c r="M306" s="302">
        <f t="shared" si="22"/>
        <v>-10058816.267824829</v>
      </c>
      <c r="N306" s="308">
        <f>-VLOOKUP(A306,Paramètres!$B$23:$C$322,2,FALSE)*$N$5</f>
        <v>0</v>
      </c>
      <c r="O306" s="322"/>
      <c r="P306" s="602">
        <f t="shared" si="23"/>
        <v>-52944093.03290011</v>
      </c>
      <c r="Q306" s="603"/>
      <c r="R306" s="603"/>
      <c r="S306" s="604"/>
      <c r="T306" s="308">
        <f>PCS!D306</f>
        <v>29792907.287445646</v>
      </c>
      <c r="U306" s="303">
        <f>Police!U306</f>
        <v>920394.91438582027</v>
      </c>
      <c r="V306" s="336">
        <f t="shared" si="24"/>
        <v>-22230790.831068642</v>
      </c>
      <c r="W306" s="180"/>
      <c r="X306" s="180"/>
      <c r="Y306" s="180"/>
      <c r="Z306" s="15"/>
    </row>
    <row r="307" spans="1:26" x14ac:dyDescent="0.25">
      <c r="A307" s="113">
        <f>Données!A307</f>
        <v>5939</v>
      </c>
      <c r="B307" s="120" t="str">
        <f>Données!B307</f>
        <v>Yvonand</v>
      </c>
      <c r="C307" s="313">
        <f>Ressources!H307</f>
        <v>-4624931.4326393688</v>
      </c>
      <c r="D307" s="313">
        <f>Ressources!L307</f>
        <v>0</v>
      </c>
      <c r="E307" s="337">
        <f>Ressources!T307</f>
        <v>-274675.22625202197</v>
      </c>
      <c r="F307" s="308">
        <f t="shared" si="20"/>
        <v>-4899606.658891391</v>
      </c>
      <c r="G307" s="313">
        <f>'Besoins structurels'!I307</f>
        <v>0</v>
      </c>
      <c r="H307" s="313">
        <f>'Besoins structurels'!N307</f>
        <v>0</v>
      </c>
      <c r="I307" s="313">
        <f>'Besoins structurels'!V307</f>
        <v>0</v>
      </c>
      <c r="J307" s="317">
        <f t="shared" si="21"/>
        <v>0</v>
      </c>
      <c r="K307" s="313">
        <f>'Charges des villes'!N307</f>
        <v>876233.86913691834</v>
      </c>
      <c r="L307" s="313">
        <f>'Charges des villes'!U307</f>
        <v>357690.20076243981</v>
      </c>
      <c r="M307" s="316">
        <f t="shared" si="22"/>
        <v>1233924.0698993581</v>
      </c>
      <c r="N307" s="308">
        <f>-VLOOKUP(A307,Paramètres!$B$23:$C$322,2,FALSE)*$N$5</f>
        <v>0</v>
      </c>
      <c r="O307" s="322"/>
      <c r="P307" s="602">
        <f t="shared" si="23"/>
        <v>-3665682.5889920332</v>
      </c>
      <c r="Q307" s="603"/>
      <c r="R307" s="603"/>
      <c r="S307" s="604"/>
      <c r="T307" s="315">
        <f>PCS!D307</f>
        <v>3442735.9532159409</v>
      </c>
      <c r="U307" s="303">
        <f>Police!U307</f>
        <v>581332.65223432367</v>
      </c>
      <c r="V307" s="338">
        <f t="shared" si="24"/>
        <v>358386.01645823137</v>
      </c>
      <c r="W307" s="180"/>
      <c r="X307" s="180"/>
      <c r="Y307" s="180"/>
      <c r="Z307" s="15"/>
    </row>
    <row r="308" spans="1:26" x14ac:dyDescent="0.25">
      <c r="A308" s="2"/>
      <c r="C308" s="315">
        <f>SUM(C8:C307)</f>
        <v>-1.2749806046485901E-6</v>
      </c>
      <c r="D308" s="315">
        <f t="shared" ref="D308:F308" si="25">SUM(D8:D307)</f>
        <v>-3056165</v>
      </c>
      <c r="E308" s="317">
        <f t="shared" si="25"/>
        <v>450000.00000001676</v>
      </c>
      <c r="F308" s="321">
        <f t="shared" si="25"/>
        <v>-2606165.0000011735</v>
      </c>
      <c r="G308" s="321">
        <f t="shared" ref="G308:M308" si="26">SUM(G8:G307)</f>
        <v>-8217402</v>
      </c>
      <c r="H308" s="321">
        <f t="shared" si="26"/>
        <v>-15144929</v>
      </c>
      <c r="I308" s="321">
        <f t="shared" si="26"/>
        <v>-6007007</v>
      </c>
      <c r="J308" s="332">
        <f t="shared" si="26"/>
        <v>-29369338</v>
      </c>
      <c r="K308" s="321">
        <f t="shared" si="26"/>
        <v>-3.9488077163696289E-7</v>
      </c>
      <c r="L308" s="321">
        <f t="shared" si="26"/>
        <v>-4.71482053399086E-9</v>
      </c>
      <c r="M308" s="339">
        <f t="shared" si="26"/>
        <v>-4.3748877942562103E-7</v>
      </c>
      <c r="N308" s="321">
        <f>SUM(N8:N307)</f>
        <v>-10113300</v>
      </c>
      <c r="O308" s="322"/>
      <c r="P308" s="605">
        <f>SUM(P8:R307)</f>
        <v>-42088803.000001669</v>
      </c>
      <c r="Q308" s="606"/>
      <c r="R308" s="606"/>
      <c r="S308" s="607"/>
      <c r="T308" s="315">
        <f>SUM(T8:T307)</f>
        <v>841431539.00000095</v>
      </c>
      <c r="U308" s="330">
        <f>SUM(U8:U307)</f>
        <v>74269768.000000045</v>
      </c>
      <c r="V308" s="338">
        <f>SUM(V8:V307)</f>
        <v>873612503.99999917</v>
      </c>
    </row>
    <row r="309" spans="1:26" x14ac:dyDescent="0.25">
      <c r="N309" s="15"/>
      <c r="V309" s="15"/>
    </row>
  </sheetData>
  <sheetProtection sheet="1" objects="1" scenarios="1"/>
  <mergeCells count="315">
    <mergeCell ref="P11:S11"/>
    <mergeCell ref="P12:S12"/>
    <mergeCell ref="P13:S13"/>
    <mergeCell ref="P14:S14"/>
    <mergeCell ref="P15:S15"/>
    <mergeCell ref="C5:F6"/>
    <mergeCell ref="G5:J6"/>
    <mergeCell ref="K5:M6"/>
    <mergeCell ref="A3:B3"/>
    <mergeCell ref="A4:B4"/>
    <mergeCell ref="A5:A7"/>
    <mergeCell ref="B5:B7"/>
    <mergeCell ref="N6:N7"/>
    <mergeCell ref="T5:U6"/>
    <mergeCell ref="P5:P6"/>
    <mergeCell ref="Q5:Q6"/>
    <mergeCell ref="R5:R6"/>
    <mergeCell ref="S5:S6"/>
    <mergeCell ref="P7:S7"/>
    <mergeCell ref="P8:S8"/>
    <mergeCell ref="P9:S9"/>
    <mergeCell ref="P10:S10"/>
    <mergeCell ref="P35:S35"/>
    <mergeCell ref="P16:S16"/>
    <mergeCell ref="P17:S17"/>
    <mergeCell ref="P18:S18"/>
    <mergeCell ref="P19:S19"/>
    <mergeCell ref="P20:S20"/>
    <mergeCell ref="P21:S21"/>
    <mergeCell ref="P22:S22"/>
    <mergeCell ref="P23:S23"/>
    <mergeCell ref="P24:S24"/>
    <mergeCell ref="P25:S25"/>
    <mergeCell ref="P26:S26"/>
    <mergeCell ref="P27:S27"/>
    <mergeCell ref="P28:S28"/>
    <mergeCell ref="P29:S29"/>
    <mergeCell ref="P30:S30"/>
    <mergeCell ref="P31:S31"/>
    <mergeCell ref="P32:S32"/>
    <mergeCell ref="P33:S33"/>
    <mergeCell ref="P34:S34"/>
    <mergeCell ref="P55:S55"/>
    <mergeCell ref="P36:S36"/>
    <mergeCell ref="P37:S37"/>
    <mergeCell ref="P38:S38"/>
    <mergeCell ref="P39:S39"/>
    <mergeCell ref="P40:S40"/>
    <mergeCell ref="P41:S41"/>
    <mergeCell ref="P42:S42"/>
    <mergeCell ref="P43:S43"/>
    <mergeCell ref="P44:S44"/>
    <mergeCell ref="P45:S45"/>
    <mergeCell ref="P46:S46"/>
    <mergeCell ref="P47:S47"/>
    <mergeCell ref="P48:S48"/>
    <mergeCell ref="P49:S49"/>
    <mergeCell ref="P50:S50"/>
    <mergeCell ref="P51:S51"/>
    <mergeCell ref="P52:S52"/>
    <mergeCell ref="P53:S53"/>
    <mergeCell ref="P54:S54"/>
    <mergeCell ref="P75:S75"/>
    <mergeCell ref="P56:S56"/>
    <mergeCell ref="P57:S57"/>
    <mergeCell ref="P58:S58"/>
    <mergeCell ref="P59:S59"/>
    <mergeCell ref="P60:S60"/>
    <mergeCell ref="P61:S61"/>
    <mergeCell ref="P62:S62"/>
    <mergeCell ref="P63:S63"/>
    <mergeCell ref="P64:S64"/>
    <mergeCell ref="P65:S65"/>
    <mergeCell ref="P66:S66"/>
    <mergeCell ref="P67:S67"/>
    <mergeCell ref="P68:S68"/>
    <mergeCell ref="P69:S69"/>
    <mergeCell ref="P70:S70"/>
    <mergeCell ref="P71:S71"/>
    <mergeCell ref="P72:S72"/>
    <mergeCell ref="P73:S73"/>
    <mergeCell ref="P74:S74"/>
    <mergeCell ref="P95:S95"/>
    <mergeCell ref="P76:S76"/>
    <mergeCell ref="P77:S77"/>
    <mergeCell ref="P78:S78"/>
    <mergeCell ref="P79:S79"/>
    <mergeCell ref="P80:S80"/>
    <mergeCell ref="P81:S81"/>
    <mergeCell ref="P82:S82"/>
    <mergeCell ref="P83:S83"/>
    <mergeCell ref="P84:S84"/>
    <mergeCell ref="P85:S85"/>
    <mergeCell ref="P86:S86"/>
    <mergeCell ref="P87:S87"/>
    <mergeCell ref="P88:S88"/>
    <mergeCell ref="P89:S89"/>
    <mergeCell ref="P90:S90"/>
    <mergeCell ref="P91:S91"/>
    <mergeCell ref="P92:S92"/>
    <mergeCell ref="P93:S93"/>
    <mergeCell ref="P94:S94"/>
    <mergeCell ref="P115:S115"/>
    <mergeCell ref="P96:S96"/>
    <mergeCell ref="P97:S97"/>
    <mergeCell ref="P98:S98"/>
    <mergeCell ref="P99:S99"/>
    <mergeCell ref="P100:S100"/>
    <mergeCell ref="P101:S101"/>
    <mergeCell ref="P102:S102"/>
    <mergeCell ref="P103:S103"/>
    <mergeCell ref="P104:S104"/>
    <mergeCell ref="P105:S105"/>
    <mergeCell ref="P106:S106"/>
    <mergeCell ref="P107:S107"/>
    <mergeCell ref="P108:S108"/>
    <mergeCell ref="P109:S109"/>
    <mergeCell ref="P110:S110"/>
    <mergeCell ref="P111:S111"/>
    <mergeCell ref="P112:S112"/>
    <mergeCell ref="P113:S113"/>
    <mergeCell ref="P114:S114"/>
    <mergeCell ref="P135:S135"/>
    <mergeCell ref="P116:S116"/>
    <mergeCell ref="P117:S117"/>
    <mergeCell ref="P118:S118"/>
    <mergeCell ref="P119:S119"/>
    <mergeCell ref="P120:S120"/>
    <mergeCell ref="P121:S121"/>
    <mergeCell ref="P122:S122"/>
    <mergeCell ref="P123:S123"/>
    <mergeCell ref="P124:S124"/>
    <mergeCell ref="P125:S125"/>
    <mergeCell ref="P126:S126"/>
    <mergeCell ref="P127:S127"/>
    <mergeCell ref="P128:S128"/>
    <mergeCell ref="P129:S129"/>
    <mergeCell ref="P130:S130"/>
    <mergeCell ref="P131:S131"/>
    <mergeCell ref="P132:S132"/>
    <mergeCell ref="P133:S133"/>
    <mergeCell ref="P134:S134"/>
    <mergeCell ref="P155:S155"/>
    <mergeCell ref="P136:S136"/>
    <mergeCell ref="P137:S137"/>
    <mergeCell ref="P138:S138"/>
    <mergeCell ref="P139:S139"/>
    <mergeCell ref="P140:S140"/>
    <mergeCell ref="P141:S141"/>
    <mergeCell ref="P142:S142"/>
    <mergeCell ref="P143:S143"/>
    <mergeCell ref="P144:S144"/>
    <mergeCell ref="P145:S145"/>
    <mergeCell ref="P146:S146"/>
    <mergeCell ref="P147:S147"/>
    <mergeCell ref="P148:S148"/>
    <mergeCell ref="P149:S149"/>
    <mergeCell ref="P150:S150"/>
    <mergeCell ref="P151:S151"/>
    <mergeCell ref="P152:S152"/>
    <mergeCell ref="P153:S153"/>
    <mergeCell ref="P154:S154"/>
    <mergeCell ref="P175:S175"/>
    <mergeCell ref="P156:S156"/>
    <mergeCell ref="P157:S157"/>
    <mergeCell ref="P158:S158"/>
    <mergeCell ref="P159:S159"/>
    <mergeCell ref="P160:S160"/>
    <mergeCell ref="P161:S161"/>
    <mergeCell ref="P162:S162"/>
    <mergeCell ref="P163:S163"/>
    <mergeCell ref="P164:S164"/>
    <mergeCell ref="P165:S165"/>
    <mergeCell ref="P166:S166"/>
    <mergeCell ref="P167:S167"/>
    <mergeCell ref="P168:S168"/>
    <mergeCell ref="P169:S169"/>
    <mergeCell ref="P170:S170"/>
    <mergeCell ref="P171:S171"/>
    <mergeCell ref="P172:S172"/>
    <mergeCell ref="P173:S173"/>
    <mergeCell ref="P174:S174"/>
    <mergeCell ref="P195:S195"/>
    <mergeCell ref="P176:S176"/>
    <mergeCell ref="P177:S177"/>
    <mergeCell ref="P178:S178"/>
    <mergeCell ref="P179:S179"/>
    <mergeCell ref="P180:S180"/>
    <mergeCell ref="P181:S181"/>
    <mergeCell ref="P182:S182"/>
    <mergeCell ref="P183:S183"/>
    <mergeCell ref="P184:S184"/>
    <mergeCell ref="P185:S185"/>
    <mergeCell ref="P186:S186"/>
    <mergeCell ref="P187:S187"/>
    <mergeCell ref="P188:S188"/>
    <mergeCell ref="P189:S189"/>
    <mergeCell ref="P190:S190"/>
    <mergeCell ref="P191:S191"/>
    <mergeCell ref="P192:S192"/>
    <mergeCell ref="P193:S193"/>
    <mergeCell ref="P194:S194"/>
    <mergeCell ref="P234:S234"/>
    <mergeCell ref="P236:S236"/>
    <mergeCell ref="P237:S237"/>
    <mergeCell ref="P238:S238"/>
    <mergeCell ref="P215:S215"/>
    <mergeCell ref="P196:S196"/>
    <mergeCell ref="P197:S197"/>
    <mergeCell ref="P198:S198"/>
    <mergeCell ref="P199:S199"/>
    <mergeCell ref="P200:S200"/>
    <mergeCell ref="P201:S201"/>
    <mergeCell ref="P202:S202"/>
    <mergeCell ref="P203:S203"/>
    <mergeCell ref="P204:S204"/>
    <mergeCell ref="P205:S205"/>
    <mergeCell ref="P206:S206"/>
    <mergeCell ref="P207:S207"/>
    <mergeCell ref="P208:S208"/>
    <mergeCell ref="P209:S209"/>
    <mergeCell ref="P210:S210"/>
    <mergeCell ref="P211:S211"/>
    <mergeCell ref="P212:S212"/>
    <mergeCell ref="P213:S213"/>
    <mergeCell ref="P214:S214"/>
    <mergeCell ref="P225:S225"/>
    <mergeCell ref="P226:S226"/>
    <mergeCell ref="P227:S227"/>
    <mergeCell ref="P228:S228"/>
    <mergeCell ref="P229:S229"/>
    <mergeCell ref="P230:S230"/>
    <mergeCell ref="P231:S231"/>
    <mergeCell ref="P232:S232"/>
    <mergeCell ref="P233:S233"/>
    <mergeCell ref="P216:S216"/>
    <mergeCell ref="P217:S217"/>
    <mergeCell ref="P218:S218"/>
    <mergeCell ref="P219:S219"/>
    <mergeCell ref="P220:S220"/>
    <mergeCell ref="P221:S221"/>
    <mergeCell ref="P222:S222"/>
    <mergeCell ref="P223:S223"/>
    <mergeCell ref="P224:S224"/>
    <mergeCell ref="P246:S246"/>
    <mergeCell ref="P247:S247"/>
    <mergeCell ref="P248:S248"/>
    <mergeCell ref="P249:S249"/>
    <mergeCell ref="P250:S250"/>
    <mergeCell ref="P245:S245"/>
    <mergeCell ref="P235:S235"/>
    <mergeCell ref="P277:S277"/>
    <mergeCell ref="P265:S265"/>
    <mergeCell ref="P239:S239"/>
    <mergeCell ref="P240:S240"/>
    <mergeCell ref="P241:S241"/>
    <mergeCell ref="P242:S242"/>
    <mergeCell ref="P243:S243"/>
    <mergeCell ref="P244:S244"/>
    <mergeCell ref="P251:S251"/>
    <mergeCell ref="P252:S252"/>
    <mergeCell ref="P253:S253"/>
    <mergeCell ref="P254:S254"/>
    <mergeCell ref="P255:S255"/>
    <mergeCell ref="P270:S270"/>
    <mergeCell ref="P271:S271"/>
    <mergeCell ref="P272:S272"/>
    <mergeCell ref="P273:S273"/>
    <mergeCell ref="P266:S266"/>
    <mergeCell ref="P267:S267"/>
    <mergeCell ref="P268:S268"/>
    <mergeCell ref="P269:S269"/>
    <mergeCell ref="P282:S282"/>
    <mergeCell ref="P283:S283"/>
    <mergeCell ref="P274:S274"/>
    <mergeCell ref="P275:S275"/>
    <mergeCell ref="P278:S278"/>
    <mergeCell ref="P276:S276"/>
    <mergeCell ref="P256:S256"/>
    <mergeCell ref="P257:S257"/>
    <mergeCell ref="P258:S258"/>
    <mergeCell ref="P259:S259"/>
    <mergeCell ref="P260:S260"/>
    <mergeCell ref="P261:S261"/>
    <mergeCell ref="P262:S262"/>
    <mergeCell ref="P263:S263"/>
    <mergeCell ref="P264:S264"/>
    <mergeCell ref="P289:S289"/>
    <mergeCell ref="P290:S290"/>
    <mergeCell ref="P291:S291"/>
    <mergeCell ref="P292:S292"/>
    <mergeCell ref="P293:S293"/>
    <mergeCell ref="P294:S294"/>
    <mergeCell ref="P280:S280"/>
    <mergeCell ref="P281:S281"/>
    <mergeCell ref="P279:S279"/>
    <mergeCell ref="P286:S286"/>
    <mergeCell ref="P287:S287"/>
    <mergeCell ref="P288:S288"/>
    <mergeCell ref="P284:S284"/>
    <mergeCell ref="P285:S285"/>
    <mergeCell ref="P304:S304"/>
    <mergeCell ref="P305:S305"/>
    <mergeCell ref="P306:S306"/>
    <mergeCell ref="P307:S307"/>
    <mergeCell ref="P308:S308"/>
    <mergeCell ref="P295:S295"/>
    <mergeCell ref="P296:S296"/>
    <mergeCell ref="P297:S297"/>
    <mergeCell ref="P298:S298"/>
    <mergeCell ref="P299:S299"/>
    <mergeCell ref="P300:S300"/>
    <mergeCell ref="P301:S301"/>
    <mergeCell ref="P302:S302"/>
    <mergeCell ref="P303:S303"/>
  </mergeCells>
  <conditionalFormatting sqref="V6">
    <cfRule type="cellIs" dxfId="35" priority="7" operator="equal">
      <formula>"ERREUR"</formula>
    </cfRule>
    <cfRule type="cellIs" dxfId="34" priority="8" operator="equal">
      <formula>"OK"</formula>
    </cfRule>
  </conditionalFormatting>
  <hyperlinks>
    <hyperlink ref="C1" location="Police!A1" display="← Précédent" xr:uid="{1836622A-A0F2-4DFA-8A05-152CB901E5E2}"/>
    <hyperlink ref="D1" location="'Table des matières'!A1" display="Table des matières" xr:uid="{CD2790B8-833F-4D6C-A1E2-ACB587BD44DD}"/>
    <hyperlink ref="E1" location="'Synthèse par commune'!A1" display="Suivant →" xr:uid="{B33DE12A-280C-455F-BE8C-8141615CEADC}"/>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81CE4-C647-443E-B824-4D7014C43E34}">
  <sheetPr>
    <tabColor rgb="FFCCCCFF"/>
    <pageSetUpPr fitToPage="1"/>
  </sheetPr>
  <dimension ref="B1:M34"/>
  <sheetViews>
    <sheetView zoomScale="80" zoomScaleNormal="80" workbookViewId="0"/>
  </sheetViews>
  <sheetFormatPr baseColWidth="10" defaultRowHeight="15" outlineLevelRow="1" x14ac:dyDescent="0.25"/>
  <cols>
    <col min="1" max="1" width="5.7109375" style="4" customWidth="1"/>
    <col min="2" max="2" width="18.5703125" style="4" customWidth="1"/>
    <col min="3" max="3" width="20" style="4" customWidth="1"/>
    <col min="4" max="4" width="22.85546875" style="4" customWidth="1"/>
    <col min="5" max="5" width="18.5703125" style="4" customWidth="1"/>
    <col min="6" max="6" width="5.7109375" style="4" customWidth="1"/>
    <col min="7" max="8" width="18.5703125" style="4" customWidth="1"/>
    <col min="9" max="9" width="5.7109375" style="4" customWidth="1"/>
    <col min="10" max="12" width="12.85546875" style="4" customWidth="1"/>
    <col min="13" max="16384" width="11.42578125" style="4"/>
  </cols>
  <sheetData>
    <row r="1" spans="2:13" ht="30" customHeight="1" thickTop="1" thickBot="1" x14ac:dyDescent="0.3">
      <c r="B1" s="651" t="str">
        <f>Synthèse!A2</f>
        <v>Décompte final 2025</v>
      </c>
      <c r="C1" s="652"/>
      <c r="D1" s="652"/>
      <c r="E1" s="653"/>
      <c r="F1" s="179"/>
      <c r="G1" s="641"/>
      <c r="H1" s="641"/>
      <c r="J1" s="97" t="s">
        <v>441</v>
      </c>
      <c r="K1" s="435" t="s">
        <v>442</v>
      </c>
      <c r="L1" s="97" t="s">
        <v>443</v>
      </c>
      <c r="M1" s="98"/>
    </row>
    <row r="2" spans="2:13" ht="15" customHeight="1" thickTop="1" x14ac:dyDescent="0.2">
      <c r="B2" s="168"/>
      <c r="C2" s="169"/>
      <c r="D2" s="169"/>
      <c r="E2" s="170" t="s">
        <v>485</v>
      </c>
      <c r="F2" s="170"/>
    </row>
    <row r="3" spans="2:13" ht="22.5" customHeight="1" x14ac:dyDescent="0.25">
      <c r="B3" s="171" t="s">
        <v>393</v>
      </c>
      <c r="C3" s="657"/>
      <c r="D3" s="658"/>
      <c r="E3" s="172" t="e">
        <f>VLOOKUP(C3,Paramètres!A23:B322,2,FALSE)</f>
        <v>#N/A</v>
      </c>
      <c r="F3" s="178"/>
      <c r="G3" s="649" t="s">
        <v>609</v>
      </c>
      <c r="H3" s="649" t="s">
        <v>562</v>
      </c>
      <c r="I3" s="419"/>
    </row>
    <row r="4" spans="2:13" ht="15" customHeight="1" x14ac:dyDescent="0.25">
      <c r="B4" s="168"/>
      <c r="C4" s="168"/>
      <c r="D4" s="168"/>
      <c r="E4" s="381" t="s">
        <v>490</v>
      </c>
      <c r="F4" s="381"/>
      <c r="G4" s="650"/>
      <c r="H4" s="650"/>
      <c r="I4" s="419"/>
    </row>
    <row r="5" spans="2:13" ht="22.5" customHeight="1" x14ac:dyDescent="0.25">
      <c r="B5" s="654" t="s">
        <v>448</v>
      </c>
      <c r="C5" s="654"/>
      <c r="D5" s="654"/>
      <c r="E5" s="205" t="e">
        <f>VLOOKUP(C3,Synthèse!B8:F307,5,FALSE)</f>
        <v>#N/A</v>
      </c>
      <c r="F5" s="174"/>
      <c r="G5" s="389" t="e">
        <f>VLOOKUP(C3,Prévisionnel!B8:V307,5,FALSE)</f>
        <v>#N/A</v>
      </c>
      <c r="H5" s="389" t="e">
        <f>E5-G5</f>
        <v>#N/A</v>
      </c>
      <c r="I5" s="420"/>
    </row>
    <row r="6" spans="2:13" ht="22.5" customHeight="1" outlineLevel="1" x14ac:dyDescent="0.2">
      <c r="B6" s="660" t="s">
        <v>430</v>
      </c>
      <c r="C6" s="661"/>
      <c r="D6" s="662"/>
      <c r="E6" s="173" t="e">
        <f>VLOOKUP(C3,Synthèse!B8:C307,2,FALSE)</f>
        <v>#N/A</v>
      </c>
      <c r="F6" s="177"/>
      <c r="G6" s="388" t="e">
        <f>VLOOKUP(C3,Prévisionnel!B8:V307,2,FALSE)</f>
        <v>#N/A</v>
      </c>
      <c r="H6" s="388" t="e">
        <f>E6-G6</f>
        <v>#N/A</v>
      </c>
      <c r="I6" s="421"/>
    </row>
    <row r="7" spans="2:13" ht="22.5" customHeight="1" outlineLevel="1" x14ac:dyDescent="0.2">
      <c r="B7" s="663" t="s">
        <v>11</v>
      </c>
      <c r="C7" s="663"/>
      <c r="D7" s="663"/>
      <c r="E7" s="173" t="e">
        <f>VLOOKUP(C3,Synthèse!B8:D307,3,FALSE)</f>
        <v>#N/A</v>
      </c>
      <c r="F7" s="177"/>
      <c r="G7" s="388" t="e">
        <f>VLOOKUP(C3,Prévisionnel!B8:V307,3,FALSE)</f>
        <v>#N/A</v>
      </c>
      <c r="H7" s="388" t="e">
        <f>E7-G7</f>
        <v>#N/A</v>
      </c>
      <c r="I7" s="421"/>
    </row>
    <row r="8" spans="2:13" ht="22.5" customHeight="1" outlineLevel="1" x14ac:dyDescent="0.2">
      <c r="B8" s="663" t="s">
        <v>20</v>
      </c>
      <c r="C8" s="663"/>
      <c r="D8" s="663"/>
      <c r="E8" s="173" t="e">
        <f>VLOOKUP(C3,Synthèse!B8:E307,4,FALSE)</f>
        <v>#N/A</v>
      </c>
      <c r="F8" s="177"/>
      <c r="G8" s="388" t="e">
        <f>VLOOKUP(C3,Prévisionnel!B8:V307,4,FALSE)</f>
        <v>#N/A</v>
      </c>
      <c r="H8" s="388" t="e">
        <f>E8-G8</f>
        <v>#N/A</v>
      </c>
      <c r="I8" s="421"/>
    </row>
    <row r="9" spans="2:13" ht="11.25" customHeight="1" x14ac:dyDescent="0.25">
      <c r="B9" s="183"/>
      <c r="C9" s="183"/>
      <c r="D9" s="183"/>
      <c r="E9" s="176"/>
      <c r="F9" s="174"/>
      <c r="G9" s="382"/>
      <c r="H9" s="382"/>
      <c r="I9" s="382"/>
    </row>
    <row r="10" spans="2:13" ht="22.5" customHeight="1" x14ac:dyDescent="0.25">
      <c r="B10" s="655" t="s">
        <v>449</v>
      </c>
      <c r="C10" s="655"/>
      <c r="D10" s="655"/>
      <c r="E10" s="206" t="e">
        <f>VLOOKUP(C3,Synthèse!B8:J307,9,FALSE)</f>
        <v>#N/A</v>
      </c>
      <c r="F10" s="174"/>
      <c r="G10" s="390" t="e">
        <f>VLOOKUP(C3,Prévisionnel!B8:V307,9,FALSE)</f>
        <v>#N/A</v>
      </c>
      <c r="H10" s="390" t="e">
        <f>E10-G10</f>
        <v>#N/A</v>
      </c>
      <c r="I10" s="420"/>
    </row>
    <row r="11" spans="2:13" ht="22.5" customHeight="1" outlineLevel="1" x14ac:dyDescent="0.25">
      <c r="B11" s="642" t="s">
        <v>498</v>
      </c>
      <c r="C11" s="642"/>
      <c r="D11" s="642"/>
      <c r="E11" s="173" t="e">
        <f>VLOOKUP(C3,Synthèse!B8:G307,6,FALSE)</f>
        <v>#N/A</v>
      </c>
      <c r="F11" s="174"/>
      <c r="G11" s="388" t="e">
        <f>VLOOKUP(C3,Prévisionnel!B8:V307,6,FALSE)</f>
        <v>#N/A</v>
      </c>
      <c r="H11" s="388" t="e">
        <f>E11-G11</f>
        <v>#N/A</v>
      </c>
      <c r="I11" s="421"/>
    </row>
    <row r="12" spans="2:13" ht="22.5" customHeight="1" outlineLevel="1" x14ac:dyDescent="0.25">
      <c r="B12" s="642" t="s">
        <v>499</v>
      </c>
      <c r="C12" s="642"/>
      <c r="D12" s="642"/>
      <c r="E12" s="173" t="e">
        <f>VLOOKUP(C3,Synthèse!B8:H307,7,FALSE)</f>
        <v>#N/A</v>
      </c>
      <c r="F12" s="174"/>
      <c r="G12" s="388" t="e">
        <f>VLOOKUP(C3,Prévisionnel!B8:V307,7,FALSE)</f>
        <v>#N/A</v>
      </c>
      <c r="H12" s="388" t="e">
        <f>E12-G12</f>
        <v>#N/A</v>
      </c>
      <c r="I12" s="421"/>
    </row>
    <row r="13" spans="2:13" ht="22.5" customHeight="1" outlineLevel="1" x14ac:dyDescent="0.25">
      <c r="B13" s="642" t="s">
        <v>500</v>
      </c>
      <c r="C13" s="642"/>
      <c r="D13" s="642"/>
      <c r="E13" s="173" t="e">
        <f>VLOOKUP(C3,Synthèse!B8:I307,8,FALSE)</f>
        <v>#N/A</v>
      </c>
      <c r="F13" s="174"/>
      <c r="G13" s="388" t="e">
        <f>VLOOKUP(C3,Prévisionnel!B8:V307,8,FALSE)</f>
        <v>#N/A</v>
      </c>
      <c r="H13" s="388" t="e">
        <f>E13-G13</f>
        <v>#N/A</v>
      </c>
      <c r="I13" s="421"/>
    </row>
    <row r="14" spans="2:13" ht="11.25" customHeight="1" x14ac:dyDescent="0.25">
      <c r="B14" s="183"/>
      <c r="C14" s="183"/>
      <c r="D14" s="183"/>
      <c r="E14" s="176"/>
      <c r="F14" s="174"/>
      <c r="G14" s="382"/>
      <c r="H14" s="382"/>
      <c r="I14" s="382"/>
    </row>
    <row r="15" spans="2:13" ht="22.5" customHeight="1" x14ac:dyDescent="0.25">
      <c r="B15" s="648" t="s">
        <v>502</v>
      </c>
      <c r="C15" s="648"/>
      <c r="D15" s="648"/>
      <c r="E15" s="207" t="e">
        <f>VLOOKUP(C3,Synthèse!B8:M307,12,FALSE)</f>
        <v>#N/A</v>
      </c>
      <c r="F15" s="174"/>
      <c r="G15" s="389" t="e">
        <f>VLOOKUP(C3,Prévisionnel!B8:V307,12,FALSE)</f>
        <v>#N/A</v>
      </c>
      <c r="H15" s="389" t="e">
        <f>E15-G15</f>
        <v>#N/A</v>
      </c>
      <c r="I15" s="420"/>
    </row>
    <row r="16" spans="2:13" ht="22.5" customHeight="1" outlineLevel="1" x14ac:dyDescent="0.25">
      <c r="B16" s="643" t="s">
        <v>420</v>
      </c>
      <c r="C16" s="643"/>
      <c r="D16" s="643"/>
      <c r="E16" s="173" t="e">
        <f>VLOOKUP(C3,Synthèse!B8:K307,10,FALSE)</f>
        <v>#N/A</v>
      </c>
      <c r="F16" s="174"/>
      <c r="G16" s="388" t="e">
        <f>VLOOKUP(C3,Prévisionnel!B8:V307,10,FALSE)</f>
        <v>#N/A</v>
      </c>
      <c r="H16" s="388" t="e">
        <f>E16-G16</f>
        <v>#N/A</v>
      </c>
      <c r="I16" s="421"/>
    </row>
    <row r="17" spans="2:9" ht="22.5" customHeight="1" outlineLevel="1" x14ac:dyDescent="0.25">
      <c r="B17" s="643" t="s">
        <v>501</v>
      </c>
      <c r="C17" s="643"/>
      <c r="D17" s="643"/>
      <c r="E17" s="173" t="e">
        <f>VLOOKUP(C3,Synthèse!B8:L307,11,FALSE)</f>
        <v>#N/A</v>
      </c>
      <c r="F17" s="174"/>
      <c r="G17" s="388" t="e">
        <f>VLOOKUP(C3,Prévisionnel!B8:V307,11,FALSE)</f>
        <v>#N/A</v>
      </c>
      <c r="H17" s="388" t="e">
        <f>E17-G17</f>
        <v>#N/A</v>
      </c>
      <c r="I17" s="421"/>
    </row>
    <row r="18" spans="2:9" ht="11.25" customHeight="1" x14ac:dyDescent="0.25">
      <c r="B18" s="183"/>
      <c r="C18" s="183"/>
      <c r="D18" s="183"/>
      <c r="E18" s="176"/>
      <c r="F18" s="174"/>
      <c r="G18" s="382"/>
      <c r="H18" s="382"/>
      <c r="I18" s="382"/>
    </row>
    <row r="19" spans="2:9" ht="22.5" customHeight="1" x14ac:dyDescent="0.25">
      <c r="B19" s="647" t="s">
        <v>489</v>
      </c>
      <c r="C19" s="647"/>
      <c r="D19" s="647"/>
      <c r="E19" s="209" t="e">
        <f>VLOOKUP(C3,Synthèse!B8:N307,13,FALSE)</f>
        <v>#N/A</v>
      </c>
      <c r="F19" s="174"/>
      <c r="G19" s="389" t="e">
        <f>VLOOKUP(C3,Prévisionnel!B8:V307,13,FALSE)</f>
        <v>#N/A</v>
      </c>
      <c r="H19" s="389" t="e">
        <f>E19-G19</f>
        <v>#N/A</v>
      </c>
      <c r="I19" s="420"/>
    </row>
    <row r="20" spans="2:9" ht="27" customHeight="1" thickBot="1" x14ac:dyDescent="0.3">
      <c r="B20" s="183"/>
      <c r="C20" s="184"/>
      <c r="D20" s="184"/>
      <c r="E20" s="185"/>
      <c r="F20" s="174"/>
      <c r="G20" s="383"/>
      <c r="H20" s="383"/>
      <c r="I20" s="383"/>
    </row>
    <row r="21" spans="2:9" ht="27" customHeight="1" thickTop="1" x14ac:dyDescent="0.25">
      <c r="B21" s="341"/>
      <c r="C21" s="342"/>
      <c r="D21" s="342"/>
      <c r="E21" s="342"/>
      <c r="F21" s="174"/>
      <c r="G21" s="384"/>
      <c r="H21" s="384"/>
      <c r="I21" s="384"/>
    </row>
    <row r="22" spans="2:9" ht="22.5" customHeight="1" x14ac:dyDescent="0.25">
      <c r="B22" s="645" t="s">
        <v>503</v>
      </c>
      <c r="C22" s="646"/>
      <c r="D22" s="646"/>
      <c r="E22" s="210" t="e">
        <f>ROUND(VLOOKUP(C3,Synthèse!B8:S307,15,FALSE),0)</f>
        <v>#N/A</v>
      </c>
      <c r="F22" s="175"/>
      <c r="G22" s="391" t="e">
        <f>VLOOKUP(C3,Prévisionnel!B8:V307,15,FALSE)</f>
        <v>#N/A</v>
      </c>
      <c r="H22" s="391" t="e">
        <f>E22-G22</f>
        <v>#N/A</v>
      </c>
      <c r="I22" s="420"/>
    </row>
    <row r="23" spans="2:9" ht="11.25" customHeight="1" x14ac:dyDescent="0.25">
      <c r="B23" s="372"/>
      <c r="C23" s="372"/>
      <c r="D23" s="372"/>
      <c r="E23" s="372"/>
      <c r="F23" s="175"/>
      <c r="G23" s="385"/>
      <c r="H23" s="385"/>
      <c r="I23" s="385"/>
    </row>
    <row r="24" spans="2:9" ht="22.5" customHeight="1" x14ac:dyDescent="0.25">
      <c r="B24" s="659" t="s">
        <v>398</v>
      </c>
      <c r="C24" s="659"/>
      <c r="D24" s="659"/>
      <c r="E24" s="221" t="e">
        <f>ROUND(VLOOKUP(C3,Synthèse!B8:T307,19,FALSE),0)</f>
        <v>#N/A</v>
      </c>
      <c r="F24" s="175"/>
      <c r="G24" s="389" t="e">
        <f>VLOOKUP(C3,Prévisionnel!B8:V307,19,FALSE)</f>
        <v>#N/A</v>
      </c>
      <c r="H24" s="389" t="e">
        <f>E24-G24</f>
        <v>#N/A</v>
      </c>
      <c r="I24" s="420"/>
    </row>
    <row r="25" spans="2:9" ht="11.25" customHeight="1" x14ac:dyDescent="0.25">
      <c r="B25" s="183"/>
      <c r="C25" s="183"/>
      <c r="D25" s="183"/>
      <c r="E25" s="176"/>
      <c r="F25" s="175"/>
      <c r="G25" s="382"/>
      <c r="H25" s="382"/>
      <c r="I25" s="382"/>
    </row>
    <row r="26" spans="2:9" ht="22.5" customHeight="1" x14ac:dyDescent="0.25">
      <c r="B26" s="659" t="s">
        <v>33</v>
      </c>
      <c r="C26" s="659"/>
      <c r="D26" s="659"/>
      <c r="E26" s="221" t="e">
        <f>ROUND(VLOOKUP(C3,Synthèse!B8:U307,20,FALSE),0)</f>
        <v>#N/A</v>
      </c>
      <c r="F26" s="175"/>
      <c r="G26" s="389" t="e">
        <f>VLOOKUP(C3,Prévisionnel!B8:V307,20,FALSE)</f>
        <v>#N/A</v>
      </c>
      <c r="H26" s="389" t="e">
        <f>E26-G26</f>
        <v>#N/A</v>
      </c>
      <c r="I26" s="420"/>
    </row>
    <row r="27" spans="2:9" ht="22.5" customHeight="1" x14ac:dyDescent="0.25">
      <c r="B27" s="644" t="s">
        <v>62</v>
      </c>
      <c r="C27" s="644"/>
      <c r="D27" s="644"/>
      <c r="E27" s="173" t="e">
        <f>VLOOKUP(C3,Police!B8:Q307,16,FALSE)</f>
        <v>#N/A</v>
      </c>
      <c r="F27" s="175"/>
      <c r="G27" s="388" t="e">
        <f>VLOOKUP(C3,Prévisionnel!B8:W307,22,FALSE)</f>
        <v>#N/A</v>
      </c>
      <c r="H27" s="388" t="e">
        <f>E27-G27</f>
        <v>#N/A</v>
      </c>
      <c r="I27" s="421"/>
    </row>
    <row r="28" spans="2:9" ht="22.5" customHeight="1" x14ac:dyDescent="0.25">
      <c r="B28" s="644" t="s">
        <v>532</v>
      </c>
      <c r="C28" s="644"/>
      <c r="D28" s="644"/>
      <c r="E28" s="173" t="e">
        <f>VLOOKUP(C3,Police!B8:T307,17,0)+VLOOKUP(C3,Police!B8:T307,18,0)+VLOOKUP(C3,Police!B8:T307,19,0)</f>
        <v>#N/A</v>
      </c>
      <c r="F28" s="175"/>
      <c r="G28" s="388" t="e">
        <f>G26-G27</f>
        <v>#N/A</v>
      </c>
      <c r="H28" s="388" t="e">
        <f>E28-G28</f>
        <v>#N/A</v>
      </c>
      <c r="I28" s="421"/>
    </row>
    <row r="29" spans="2:9" ht="11.25" customHeight="1" x14ac:dyDescent="0.25">
      <c r="B29" s="183"/>
      <c r="C29" s="183"/>
      <c r="D29" s="183"/>
      <c r="E29" s="176"/>
      <c r="F29" s="175"/>
      <c r="G29" s="382"/>
      <c r="H29" s="382"/>
      <c r="I29" s="382"/>
    </row>
    <row r="30" spans="2:9" ht="22.5" customHeight="1" x14ac:dyDescent="0.25">
      <c r="B30" s="656" t="s">
        <v>484</v>
      </c>
      <c r="C30" s="656"/>
      <c r="D30" s="656"/>
      <c r="E30" s="208" t="e">
        <f>E22+E24+E26</f>
        <v>#N/A</v>
      </c>
      <c r="F30" s="176"/>
      <c r="G30" s="391" t="e">
        <f>VLOOKUP(C3,Prévisionnel!B8:V307,21,FALSE)</f>
        <v>#N/A</v>
      </c>
      <c r="H30" s="391" t="e">
        <f>E30-G30</f>
        <v>#N/A</v>
      </c>
      <c r="I30" s="420"/>
    </row>
    <row r="31" spans="2:9" ht="6.75" customHeight="1" x14ac:dyDescent="0.25">
      <c r="G31" s="386"/>
      <c r="H31" s="386"/>
      <c r="I31" s="387"/>
    </row>
    <row r="32" spans="2:9" x14ac:dyDescent="0.25">
      <c r="E32" s="639" t="s">
        <v>610</v>
      </c>
      <c r="F32" s="167"/>
      <c r="G32" s="640" t="s">
        <v>606</v>
      </c>
      <c r="H32" s="640"/>
      <c r="I32" s="387"/>
    </row>
    <row r="33" spans="5:9" x14ac:dyDescent="0.25">
      <c r="E33" s="640"/>
      <c r="F33" s="167"/>
      <c r="G33" s="640"/>
      <c r="H33" s="640"/>
      <c r="I33" s="387"/>
    </row>
    <row r="34" spans="5:9" x14ac:dyDescent="0.25">
      <c r="G34" s="167"/>
      <c r="H34" s="167"/>
      <c r="I34" s="387"/>
    </row>
  </sheetData>
  <sheetProtection sheet="1" objects="1" scenarios="1"/>
  <mergeCells count="25">
    <mergeCell ref="B30:D30"/>
    <mergeCell ref="C3:D3"/>
    <mergeCell ref="B24:D24"/>
    <mergeCell ref="B26:D26"/>
    <mergeCell ref="B6:D6"/>
    <mergeCell ref="B7:D7"/>
    <mergeCell ref="B8:D8"/>
    <mergeCell ref="B11:D11"/>
    <mergeCell ref="B12:D12"/>
    <mergeCell ref="E32:E33"/>
    <mergeCell ref="G1:H1"/>
    <mergeCell ref="B13:D13"/>
    <mergeCell ref="B16:D16"/>
    <mergeCell ref="B27:D27"/>
    <mergeCell ref="B28:D28"/>
    <mergeCell ref="B22:D22"/>
    <mergeCell ref="B19:D19"/>
    <mergeCell ref="B15:D15"/>
    <mergeCell ref="G32:H33"/>
    <mergeCell ref="B17:D17"/>
    <mergeCell ref="G3:G4"/>
    <mergeCell ref="H3:H4"/>
    <mergeCell ref="B1:E1"/>
    <mergeCell ref="B5:D5"/>
    <mergeCell ref="B10:D10"/>
  </mergeCells>
  <hyperlinks>
    <hyperlink ref="K1" location="'Table des matières'!A1" display="'Table des matières'!A1" xr:uid="{E8CE9F77-D36D-4D73-B821-5BEF671C0887}"/>
    <hyperlink ref="J1" location="Synthèse!A1" display="← Précédent" xr:uid="{AA433E01-71D9-4D5E-949A-05F5B3368E2B}"/>
    <hyperlink ref="L1" location="'Détail par commune'!A1" display="Suivant →" xr:uid="{5575354D-A632-459D-B00A-A91061B2C826}"/>
  </hyperlinks>
  <printOptions horizontalCentered="1"/>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0CFAFB2-2723-4A1E-8B00-F430760B3380}">
          <x14:formula1>
            <xm:f>Paramètres!$A$23:$A$322</xm:f>
          </x14:formula1>
          <xm:sqref>C3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9A692-76C5-445F-A68B-E4D89C95C1CB}">
  <sheetPr codeName="Feuil1">
    <tabColor rgb="FFCCCCFF"/>
    <pageSetUpPr fitToPage="1"/>
  </sheetPr>
  <dimension ref="B1:Y256"/>
  <sheetViews>
    <sheetView zoomScale="90" zoomScaleNormal="90" workbookViewId="0"/>
  </sheetViews>
  <sheetFormatPr baseColWidth="10" defaultRowHeight="15" x14ac:dyDescent="0.25"/>
  <cols>
    <col min="1" max="1" width="5.7109375" style="4" customWidth="1"/>
    <col min="2" max="4" width="12.28515625" style="4" customWidth="1"/>
    <col min="5" max="5" width="10.140625" style="4" customWidth="1"/>
    <col min="6" max="6" width="16.140625" style="4" customWidth="1"/>
    <col min="7" max="7" width="14.28515625" style="4" customWidth="1"/>
    <col min="8" max="8" width="7.140625" style="4" customWidth="1"/>
    <col min="9" max="14" width="15.28515625" style="4" customWidth="1"/>
    <col min="15" max="15" width="7.140625" style="4" customWidth="1"/>
    <col min="16" max="18" width="11.42578125" style="4"/>
    <col min="19" max="19" width="10" style="4" customWidth="1"/>
    <col min="20" max="20" width="15.42578125" style="4" customWidth="1"/>
    <col min="21" max="21" width="14.28515625" style="4" customWidth="1"/>
    <col min="22" max="22" width="11.42578125" style="4"/>
    <col min="23" max="23" width="11.42578125" style="54"/>
    <col min="24" max="16384" width="11.42578125" style="4"/>
  </cols>
  <sheetData>
    <row r="1" spans="2:25" ht="22.5" customHeight="1" x14ac:dyDescent="0.25">
      <c r="V1" s="669" t="s">
        <v>441</v>
      </c>
      <c r="W1" s="668" t="s">
        <v>442</v>
      </c>
      <c r="X1" s="669" t="s">
        <v>443</v>
      </c>
    </row>
    <row r="2" spans="2:25" ht="22.5" customHeight="1" x14ac:dyDescent="0.25">
      <c r="B2" s="702" t="s">
        <v>393</v>
      </c>
      <c r="C2" s="702"/>
      <c r="D2" s="703"/>
      <c r="E2" s="704"/>
      <c r="F2" s="704"/>
      <c r="G2" s="705"/>
      <c r="J2" s="54"/>
      <c r="T2" s="664" t="str">
        <f>_xlfn.CONCAT(Paramètres!M5," ",Paramètres!N5)</f>
        <v>Décompte final 2025</v>
      </c>
      <c r="U2" s="665"/>
      <c r="V2" s="669"/>
      <c r="W2" s="668"/>
      <c r="X2" s="669"/>
    </row>
    <row r="3" spans="2:25" ht="22.5" customHeight="1" x14ac:dyDescent="0.25">
      <c r="B3" s="13"/>
      <c r="C3" s="13"/>
      <c r="D3" s="6"/>
      <c r="E3" s="6"/>
      <c r="F3" s="6"/>
      <c r="G3" s="6"/>
      <c r="J3" s="54"/>
      <c r="T3" s="666"/>
      <c r="U3" s="667"/>
      <c r="W3" s="347"/>
      <c r="X3" s="347"/>
      <c r="Y3" s="443"/>
    </row>
    <row r="4" spans="2:25" ht="22.5" customHeight="1" x14ac:dyDescent="0.25">
      <c r="B4" s="6" t="s">
        <v>470</v>
      </c>
      <c r="C4" s="102" t="str">
        <f>IFERROR(VLOOKUP(D2,Paramètres!A23:B322,2,FALSE),"Saisir commune")</f>
        <v>Saisir commune</v>
      </c>
      <c r="F4" s="6" t="s">
        <v>74</v>
      </c>
      <c r="G4" s="14" t="e">
        <f>VLOOKUP(C4,Ressources!A8:C307,3,FALSE)</f>
        <v>#N/A</v>
      </c>
    </row>
    <row r="5" spans="2:25" ht="22.5" customHeight="1" x14ac:dyDescent="0.25">
      <c r="B5" s="38" t="s">
        <v>429</v>
      </c>
      <c r="C5" s="39"/>
      <c r="D5" s="39"/>
      <c r="E5" s="39"/>
      <c r="F5" s="39"/>
      <c r="G5" s="39"/>
      <c r="I5" s="40" t="s">
        <v>78</v>
      </c>
      <c r="J5" s="40"/>
      <c r="K5" s="40"/>
      <c r="L5" s="40"/>
      <c r="M5" s="40"/>
      <c r="N5" s="41"/>
      <c r="P5" s="36" t="s">
        <v>92</v>
      </c>
      <c r="Q5" s="37"/>
      <c r="R5" s="37"/>
      <c r="S5" s="37"/>
      <c r="T5" s="37"/>
      <c r="U5" s="37"/>
    </row>
    <row r="6" spans="2:25" ht="22.5" customHeight="1" x14ac:dyDescent="0.25">
      <c r="B6" s="673" t="s">
        <v>71</v>
      </c>
      <c r="C6" s="673"/>
      <c r="D6" s="673"/>
      <c r="E6" s="673"/>
      <c r="F6" s="673"/>
      <c r="G6" s="3" t="e">
        <f>VLOOKUP(C4,Ressources!A8:F307,6,FALSE)</f>
        <v>#N/A</v>
      </c>
      <c r="I6" s="673" t="s">
        <v>79</v>
      </c>
      <c r="J6" s="673"/>
      <c r="K6" s="673"/>
      <c r="L6" s="673"/>
      <c r="M6" s="673"/>
      <c r="N6" s="3" t="e">
        <f>VLOOKUP(C4,'Besoins structurels'!A8:E307,5,FALSE)</f>
        <v>#N/A</v>
      </c>
      <c r="Q6" s="28"/>
      <c r="R6" s="28"/>
      <c r="S6" s="34" t="s">
        <v>82</v>
      </c>
      <c r="T6" s="35" t="s">
        <v>90</v>
      </c>
      <c r="U6" s="34" t="s">
        <v>21</v>
      </c>
    </row>
    <row r="7" spans="2:25" ht="22.5" customHeight="1" x14ac:dyDescent="0.25">
      <c r="B7" s="673" t="s">
        <v>72</v>
      </c>
      <c r="C7" s="673"/>
      <c r="D7" s="673"/>
      <c r="E7" s="673"/>
      <c r="F7" s="673"/>
      <c r="G7" s="3">
        <f>Ressources!F308</f>
        <v>3462.7334313389024</v>
      </c>
      <c r="I7" s="670" t="str">
        <f>_xlfn.CONCAT("Si elle avait une surface productive par habitant égale à ",TEXT('Besoins structurels'!I3,"0%")," de la médiane cantonale, elle aurait une surface productive de")</f>
        <v>Si elle avait une surface productive par habitant égale à 120% de la médiane cantonale, elle aurait une surface productive de</v>
      </c>
      <c r="J7" s="670"/>
      <c r="K7" s="670"/>
      <c r="L7" s="670"/>
      <c r="M7" s="670"/>
      <c r="N7" s="672" t="e">
        <f>VLOOKUP(C4,'Besoins structurels'!A8:G307,7,FALSE)</f>
        <v>#N/A</v>
      </c>
      <c r="P7" s="673" t="s">
        <v>83</v>
      </c>
      <c r="Q7" s="673"/>
      <c r="R7" s="673"/>
      <c r="S7" s="14" t="e">
        <f>VLOOKUP(C4,'Charges des villes'!A8:D307,4,FALSE)</f>
        <v>#N/A</v>
      </c>
      <c r="T7" s="14">
        <f>-'Charges des villes'!D6</f>
        <v>-133.28387734915924</v>
      </c>
      <c r="U7" s="31" t="e">
        <f>S7*T7</f>
        <v>#N/A</v>
      </c>
    </row>
    <row r="8" spans="2:25" ht="22.5" customHeight="1" x14ac:dyDescent="0.25">
      <c r="B8" s="698" t="s">
        <v>432</v>
      </c>
      <c r="C8" s="698"/>
      <c r="D8" s="698"/>
      <c r="E8" s="698"/>
      <c r="F8" s="16" t="s">
        <v>73</v>
      </c>
      <c r="G8" s="3" t="e">
        <f>G6-G7</f>
        <v>#N/A</v>
      </c>
      <c r="I8" s="670"/>
      <c r="J8" s="670"/>
      <c r="K8" s="670"/>
      <c r="L8" s="670"/>
      <c r="M8" s="670"/>
      <c r="N8" s="672"/>
      <c r="P8" s="673" t="s">
        <v>84</v>
      </c>
      <c r="Q8" s="673"/>
      <c r="R8" s="673"/>
      <c r="S8" s="14" t="e">
        <f>VLOOKUP(C4,'Charges des villes'!A8:E307,5,FALSE)</f>
        <v>#N/A</v>
      </c>
      <c r="T8" s="14">
        <f>-'Charges des villes'!E6</f>
        <v>-373.19485657764591</v>
      </c>
      <c r="U8" s="31" t="e">
        <f t="shared" ref="U8:U13" si="0">S8*T8</f>
        <v>#N/A</v>
      </c>
    </row>
    <row r="9" spans="2:25" ht="22.5" customHeight="1" x14ac:dyDescent="0.25">
      <c r="B9" s="698"/>
      <c r="C9" s="698"/>
      <c r="D9" s="698"/>
      <c r="E9" s="698"/>
      <c r="G9" s="30">
        <f>Paramètres!C5</f>
        <v>0.8</v>
      </c>
      <c r="I9" s="673" t="str">
        <f>_xlfn.CONCAT("L'écart entre sa surface productive et ",TEXT('Besoins structurels'!I3,"0%")," de la médiane est de")</f>
        <v>L'écart entre sa surface productive et 120% de la médiane est de</v>
      </c>
      <c r="J9" s="673"/>
      <c r="K9" s="673"/>
      <c r="L9" s="673"/>
      <c r="M9" s="673"/>
      <c r="N9" s="3" t="e">
        <f>N7-N6</f>
        <v>#N/A</v>
      </c>
      <c r="P9" s="673" t="s">
        <v>85</v>
      </c>
      <c r="Q9" s="673"/>
      <c r="R9" s="673"/>
      <c r="S9" s="14" t="e">
        <f>VLOOKUP(C4,'Charges des villes'!A8:F307,6,FALSE)</f>
        <v>#N/A</v>
      </c>
      <c r="T9" s="14">
        <f>-'Charges des villes'!F6</f>
        <v>-666.41938674579626</v>
      </c>
      <c r="U9" s="31" t="e">
        <f t="shared" si="0"/>
        <v>#N/A</v>
      </c>
    </row>
    <row r="10" spans="2:25" ht="22.5" customHeight="1" x14ac:dyDescent="0.25">
      <c r="B10" s="670" t="e">
        <f>IF(G10&gt;0,"Du moment que le revenu fiscal standardisé de la commune est supérieur à la moyenne, celle-ci participe au financement de la péréquation des ressources, avec un montant par habitant de CHF","Du moment que le revenu fiscal standardisé de la commune est inférieur à la moyenne, celle-ci reçoit un versement de la péréquation des ressources d'un montant par habitant de CHF")</f>
        <v>#N/A</v>
      </c>
      <c r="C10" s="670"/>
      <c r="D10" s="670"/>
      <c r="E10" s="670"/>
      <c r="F10" s="670"/>
      <c r="G10" s="700" t="e">
        <f>G9*G8</f>
        <v>#N/A</v>
      </c>
      <c r="I10" s="670" t="e">
        <f>IF(N9&gt;0,_xlfn.CONCAT("La surface productive de la commune étant inférieure à ",TEXT('Besoins structurels'!I3,"0%")," de la médiane, celle-ci ne reçoit pas de compensation de ce mécanisme de la péréquation"),_xlfn.CONCAT("La surface productive de la commune étant supérieure à ",TEXT('Besoins structurels'!I3,"0%")," de la médiane, celle-ci reçoit CHF ",TEXT(Paramètres!G7,0)," par hectare excédentaire, c'est-à-dire un total de CHF"))</f>
        <v>#N/A</v>
      </c>
      <c r="J10" s="670"/>
      <c r="K10" s="670"/>
      <c r="L10" s="670"/>
      <c r="M10" s="670"/>
      <c r="N10" s="678" t="e">
        <f>VLOOKUP(C4,'Besoins structurels'!A8:I307,9,FALSE)</f>
        <v>#N/A</v>
      </c>
      <c r="P10" s="673" t="s">
        <v>86</v>
      </c>
      <c r="Q10" s="673"/>
      <c r="R10" s="673"/>
      <c r="S10" s="14" t="e">
        <f>VLOOKUP(C4,'Charges des villes'!A8:G307,7,FALSE)</f>
        <v>#N/A</v>
      </c>
      <c r="T10" s="14">
        <f>-'Charges des villes'!G6</f>
        <v>-1066.2710187932739</v>
      </c>
      <c r="U10" s="31" t="e">
        <f t="shared" si="0"/>
        <v>#N/A</v>
      </c>
    </row>
    <row r="11" spans="2:25" ht="22.5" customHeight="1" x14ac:dyDescent="0.25">
      <c r="B11" s="670"/>
      <c r="C11" s="670"/>
      <c r="D11" s="670"/>
      <c r="E11" s="670"/>
      <c r="F11" s="670"/>
      <c r="G11" s="700"/>
      <c r="I11" s="670"/>
      <c r="J11" s="670"/>
      <c r="K11" s="670"/>
      <c r="L11" s="670"/>
      <c r="M11" s="670"/>
      <c r="N11" s="678"/>
      <c r="P11" s="673" t="s">
        <v>87</v>
      </c>
      <c r="Q11" s="673"/>
      <c r="R11" s="673"/>
      <c r="S11" s="14" t="e">
        <f>VLOOKUP(C4,'Charges des villes'!A8:H307,8,FALSE)</f>
        <v>#N/A</v>
      </c>
      <c r="T11" s="14">
        <f>-'Charges des villes'!H6</f>
        <v>-1119.5845697329378</v>
      </c>
      <c r="U11" s="31" t="e">
        <f t="shared" si="0"/>
        <v>#N/A</v>
      </c>
    </row>
    <row r="12" spans="2:25" ht="22.5" customHeight="1" x14ac:dyDescent="0.25">
      <c r="B12" s="670"/>
      <c r="C12" s="670"/>
      <c r="D12" s="670"/>
      <c r="E12" s="670"/>
      <c r="F12" s="670"/>
      <c r="G12" s="700"/>
      <c r="P12" s="673" t="s">
        <v>88</v>
      </c>
      <c r="Q12" s="673"/>
      <c r="R12" s="673"/>
      <c r="S12" s="14" t="e">
        <f>VLOOKUP(C4,'Charges des villes'!A8:I307,9,FALSE)</f>
        <v>#N/A</v>
      </c>
      <c r="T12" s="14">
        <f>-'Charges des villes'!I6</f>
        <v>-1172.8981206726014</v>
      </c>
      <c r="U12" s="31" t="e">
        <f t="shared" si="0"/>
        <v>#N/A</v>
      </c>
    </row>
    <row r="13" spans="2:25" ht="22.5" customHeight="1" x14ac:dyDescent="0.25">
      <c r="B13" s="673" t="s">
        <v>76</v>
      </c>
      <c r="C13" s="673"/>
      <c r="D13" s="673"/>
      <c r="E13" s="673"/>
      <c r="F13" s="673"/>
      <c r="G13" s="32" t="e">
        <f>G10*G4</f>
        <v>#N/A</v>
      </c>
      <c r="I13" s="40" t="s">
        <v>431</v>
      </c>
      <c r="J13" s="41"/>
      <c r="K13" s="41"/>
      <c r="L13" s="41"/>
      <c r="M13" s="41"/>
      <c r="N13" s="41"/>
      <c r="O13" s="51"/>
      <c r="P13" s="677" t="s">
        <v>89</v>
      </c>
      <c r="Q13" s="677"/>
      <c r="R13" s="677"/>
      <c r="S13" s="7" t="e">
        <f>VLOOKUP(C4,'Charges des villes'!A8:J307,10,FALSE)</f>
        <v>#N/A</v>
      </c>
      <c r="T13" s="7">
        <f>-'Charges des villes'!J6</f>
        <v>-1226.211671612265</v>
      </c>
      <c r="U13" s="43" t="e">
        <f t="shared" si="0"/>
        <v>#N/A</v>
      </c>
    </row>
    <row r="14" spans="2:25" ht="22.5" customHeight="1" x14ac:dyDescent="0.25">
      <c r="I14" s="670" t="s">
        <v>471</v>
      </c>
      <c r="J14" s="670"/>
      <c r="K14" s="670"/>
      <c r="L14" s="670"/>
      <c r="M14" s="670"/>
      <c r="N14" s="44" t="e">
        <f>VLOOKUP(C4,'Besoins structurels'!A8:L307,12,FALSE)</f>
        <v>#N/A</v>
      </c>
      <c r="O14" s="51"/>
      <c r="R14" s="33" t="s">
        <v>25</v>
      </c>
      <c r="S14" s="14" t="e">
        <f>SUM(S7:S13)</f>
        <v>#N/A</v>
      </c>
      <c r="T14" s="6" t="s">
        <v>26</v>
      </c>
      <c r="U14" s="31" t="e">
        <f>SUM(U7:U13)</f>
        <v>#N/A</v>
      </c>
    </row>
    <row r="15" spans="2:25" ht="22.5" customHeight="1" x14ac:dyDescent="0.25">
      <c r="B15" s="38" t="s">
        <v>426</v>
      </c>
      <c r="C15" s="39"/>
      <c r="D15" s="39"/>
      <c r="E15" s="39"/>
      <c r="F15" s="39"/>
      <c r="G15" s="39"/>
      <c r="I15" s="670" t="str">
        <f>_xlfn.CONCAT("Cette commune a droit à une compensation par personne résidant en altitude égale à CHF ",TEXT(Paramètres!G12,0)," multipliés par la part susmentionnée, c'est-à-dire de CHF")</f>
        <v>Cette commune a droit à une compensation par personne résidant en altitude égale à CHF 586 multipliés par la part susmentionnée, c'est-à-dire de CHF</v>
      </c>
      <c r="J15" s="670"/>
      <c r="K15" s="670"/>
      <c r="L15" s="670"/>
      <c r="M15" s="670"/>
      <c r="N15" s="672" t="e">
        <f>VLOOKUP(C4,'Besoins structurels'!A8:M307,13,FALSE)</f>
        <v>#N/A</v>
      </c>
      <c r="O15" s="51"/>
    </row>
    <row r="16" spans="2:25" ht="22.5" customHeight="1" x14ac:dyDescent="0.25">
      <c r="B16" s="670" t="s">
        <v>75</v>
      </c>
      <c r="C16" s="670"/>
      <c r="D16" s="670"/>
      <c r="E16" s="670"/>
      <c r="F16" s="670"/>
      <c r="G16" s="701" t="e">
        <f>G6/G7</f>
        <v>#N/A</v>
      </c>
      <c r="I16" s="670"/>
      <c r="J16" s="670"/>
      <c r="K16" s="670"/>
      <c r="L16" s="670"/>
      <c r="M16" s="670"/>
      <c r="N16" s="672"/>
      <c r="O16" s="52"/>
      <c r="P16" s="670" t="s">
        <v>91</v>
      </c>
      <c r="Q16" s="670"/>
      <c r="R16" s="670"/>
      <c r="S16" s="670"/>
      <c r="T16" s="670"/>
      <c r="U16" s="674" t="e">
        <f>VLOOKUP(C4,'Charges des villes'!A8:M307,13,FALSE)</f>
        <v>#N/A</v>
      </c>
    </row>
    <row r="17" spans="2:21" ht="22.5" customHeight="1" x14ac:dyDescent="0.25">
      <c r="B17" s="670"/>
      <c r="C17" s="670"/>
      <c r="D17" s="670"/>
      <c r="E17" s="670"/>
      <c r="F17" s="670"/>
      <c r="G17" s="701"/>
      <c r="I17" s="679" t="s">
        <v>436</v>
      </c>
      <c r="J17" s="679"/>
      <c r="K17" s="679"/>
      <c r="L17" s="680" t="s">
        <v>435</v>
      </c>
      <c r="M17" s="680"/>
      <c r="N17" s="681" t="e">
        <f>VLOOKUP(C4,'Besoins structurels'!A8:K307,11,FALSE)</f>
        <v>#N/A</v>
      </c>
      <c r="P17" s="670"/>
      <c r="Q17" s="670"/>
      <c r="R17" s="670"/>
      <c r="S17" s="670"/>
      <c r="T17" s="670"/>
      <c r="U17" s="674"/>
    </row>
    <row r="18" spans="2:21" ht="22.5" customHeight="1" x14ac:dyDescent="0.25">
      <c r="B18" s="670"/>
      <c r="C18" s="670"/>
      <c r="D18" s="670"/>
      <c r="E18" s="670"/>
      <c r="F18" s="670"/>
      <c r="G18" s="701"/>
      <c r="I18" s="679"/>
      <c r="J18" s="679"/>
      <c r="K18" s="679"/>
      <c r="L18" s="680"/>
      <c r="M18" s="680"/>
      <c r="N18" s="681"/>
      <c r="P18" s="673" t="e">
        <f>IF(U18&gt;0,"La contribution nette de la commune est donc de CHF","La compensation nette en faveur de la commune est donc de CHF")</f>
        <v>#N/A</v>
      </c>
      <c r="Q18" s="673"/>
      <c r="R18" s="673"/>
      <c r="S18" s="673"/>
      <c r="T18" s="673"/>
      <c r="U18" s="42" t="e">
        <f>U14+U16</f>
        <v>#N/A</v>
      </c>
    </row>
    <row r="19" spans="2:21" ht="22.5" customHeight="1" x14ac:dyDescent="0.25">
      <c r="B19" s="673" t="e">
        <f>IF(G6&gt;G7,"Après péréquation des ressources, ce pourcentage est descendu à", "Après péréquation des ressources, ce pourcentage est monté à")</f>
        <v>#N/A</v>
      </c>
      <c r="C19" s="673"/>
      <c r="D19" s="673"/>
      <c r="E19" s="673"/>
      <c r="F19" s="673"/>
      <c r="G19" s="44" t="e">
        <f>(G6-G10)/G7</f>
        <v>#N/A</v>
      </c>
      <c r="I19" s="670" t="e">
        <f>IF(N19=0, "La commune n'ayant pas d'habitants qui résident en altitude, elle ne reçoit pas de compensation de ce mécanisme de la péréquation", "La compensation totale en faveur de la commune est donc de CHF")</f>
        <v>#N/A</v>
      </c>
      <c r="J19" s="670"/>
      <c r="K19" s="670"/>
      <c r="L19" s="670"/>
      <c r="M19" s="670"/>
      <c r="N19" s="678" t="e">
        <f>-N17*N15</f>
        <v>#N/A</v>
      </c>
    </row>
    <row r="20" spans="2:21" ht="22.5" customHeight="1" x14ac:dyDescent="0.25">
      <c r="B20" s="670" t="e">
        <f>IF(G19&lt;90%,_xlfn.CONCAT("Du moment que le pourcentage après péréquation des ressources n'atteigne pas ",TEXT(Paramètres!C6,"0%"),", cette commune reçoit, au titre de la dotation minimale, une compensation complémentaire de CHF"),_xlfn.CONCAT("Du moment que le pourcentage après péréquation des ressources est supérieur à ",TEXT(Paramètres!C6,"0%"),", cette commune ne reçoit pas de compensation complémentaire au titre de la dotation minimale"))</f>
        <v>#N/A</v>
      </c>
      <c r="C20" s="670"/>
      <c r="D20" s="670"/>
      <c r="E20" s="670"/>
      <c r="F20" s="670"/>
      <c r="G20" s="699" t="e">
        <f>VLOOKUP(C4,Ressources!A8:L307,12,FALSE)</f>
        <v>#N/A</v>
      </c>
      <c r="I20" s="670"/>
      <c r="J20" s="670"/>
      <c r="K20" s="670"/>
      <c r="L20" s="670"/>
      <c r="M20" s="670"/>
      <c r="N20" s="678"/>
      <c r="P20" s="36" t="s">
        <v>93</v>
      </c>
      <c r="Q20" s="37"/>
      <c r="R20" s="37"/>
      <c r="S20" s="37"/>
      <c r="T20" s="37"/>
      <c r="U20" s="37"/>
    </row>
    <row r="21" spans="2:21" ht="22.5" customHeight="1" x14ac:dyDescent="0.25">
      <c r="B21" s="670"/>
      <c r="C21" s="670"/>
      <c r="D21" s="670"/>
      <c r="E21" s="670"/>
      <c r="F21" s="670"/>
      <c r="G21" s="699"/>
      <c r="P21" s="670" t="s">
        <v>94</v>
      </c>
      <c r="Q21" s="670"/>
      <c r="R21" s="670"/>
      <c r="S21" s="670"/>
      <c r="T21" s="670"/>
      <c r="U21" s="675" t="e">
        <f>VLOOKUP(C4,'Charges des villes'!A8:R307,18,FALSE)</f>
        <v>#N/A</v>
      </c>
    </row>
    <row r="22" spans="2:21" ht="22.5" customHeight="1" x14ac:dyDescent="0.25">
      <c r="B22" s="670"/>
      <c r="C22" s="670"/>
      <c r="D22" s="670"/>
      <c r="E22" s="670"/>
      <c r="F22" s="670"/>
      <c r="G22" s="699"/>
      <c r="I22" s="40" t="s">
        <v>80</v>
      </c>
      <c r="J22" s="41"/>
      <c r="K22" s="41"/>
      <c r="L22" s="41"/>
      <c r="M22" s="41"/>
      <c r="N22" s="41"/>
      <c r="O22" s="51" t="s">
        <v>491</v>
      </c>
      <c r="P22" s="670"/>
      <c r="Q22" s="670"/>
      <c r="R22" s="670"/>
      <c r="S22" s="670"/>
      <c r="T22" s="670"/>
      <c r="U22" s="675"/>
    </row>
    <row r="23" spans="2:21" ht="22.5" customHeight="1" x14ac:dyDescent="0.25">
      <c r="I23" s="673" t="s">
        <v>81</v>
      </c>
      <c r="J23" s="673"/>
      <c r="K23" s="673"/>
      <c r="L23" s="673"/>
      <c r="M23" s="673"/>
      <c r="N23" s="14" t="e">
        <f>VLOOKUP(C4,'Besoins structurels'!A8:P307,16,FALSE)</f>
        <v>#N/A</v>
      </c>
      <c r="O23" s="51">
        <v>1</v>
      </c>
      <c r="P23" s="670" t="e">
        <f>IF(U21=0, "Du moment que sa participation est de 0, elle ne reçoit pas de compensation de la part de ce volet de la péréquation",_xlfn.CONCAT("La commune est compensée à hauteur de ",TEXT(Paramètres!U5,"0%")," de sa participation au financement de ces lignes, c'est-à-dire à hauteur de CHF"))</f>
        <v>#N/A</v>
      </c>
      <c r="Q23" s="670"/>
      <c r="R23" s="670"/>
      <c r="S23" s="670"/>
      <c r="T23" s="670"/>
      <c r="U23" s="674" t="e">
        <f>-U21*Paramètres!U5</f>
        <v>#N/A</v>
      </c>
    </row>
    <row r="24" spans="2:21" ht="22.5" customHeight="1" x14ac:dyDescent="0.25">
      <c r="B24" s="38" t="s">
        <v>428</v>
      </c>
      <c r="C24" s="39"/>
      <c r="D24" s="39"/>
      <c r="E24" s="39"/>
      <c r="F24" s="39"/>
      <c r="G24" s="39"/>
      <c r="I24" s="670" t="s">
        <v>425</v>
      </c>
      <c r="J24" s="670"/>
      <c r="K24" s="670"/>
      <c r="L24" s="670"/>
      <c r="M24" s="670"/>
      <c r="N24" s="675" t="e">
        <f>VLOOKUP(C4,'Besoins structurels'!A8:Q307,17,FALSE)</f>
        <v>#N/A</v>
      </c>
      <c r="O24" s="676">
        <f>Paramètres!G19</f>
        <v>0.15</v>
      </c>
      <c r="P24" s="670"/>
      <c r="Q24" s="670"/>
      <c r="R24" s="670"/>
      <c r="S24" s="670"/>
      <c r="T24" s="670"/>
      <c r="U24" s="674"/>
    </row>
    <row r="25" spans="2:21" ht="22.5" customHeight="1" x14ac:dyDescent="0.25">
      <c r="B25" s="670" t="str">
        <f>_xlfn.CONCAT("La commune doit verser à la péréquation ",TEXT(Paramètres!C9,"0%")," de son impôt sur les successions et donations, de son impôt sur les gains immobiliers et de ses droits de mutation, ce qui correspond à CHF")</f>
        <v>La commune doit verser à la péréquation 50% de son impôt sur les successions et donations, de son impôt sur les gains immobiliers et de ses droits de mutation, ce qui correspond à CHF</v>
      </c>
      <c r="C25" s="670"/>
      <c r="D25" s="670"/>
      <c r="E25" s="670"/>
      <c r="F25" s="670"/>
      <c r="G25" s="674" t="e">
        <f>VLOOKUP(C4,Ressources!A8:P307,14,FALSE)*Ressources!N6+VLOOKUP(C4,Ressources!A8:P307,15,FALSE)*Ressources!O6+VLOOKUP(C4,Ressources!A8:P307,16,FALSE)*Ressources!P6</f>
        <v>#N/A</v>
      </c>
      <c r="I25" s="670"/>
      <c r="J25" s="670"/>
      <c r="K25" s="670"/>
      <c r="L25" s="670"/>
      <c r="M25" s="670"/>
      <c r="N25" s="675"/>
      <c r="O25" s="676"/>
      <c r="P25" s="670" t="s">
        <v>95</v>
      </c>
      <c r="Q25" s="670"/>
      <c r="R25" s="670"/>
      <c r="S25" s="670"/>
      <c r="T25" s="670"/>
      <c r="U25" s="674" t="e">
        <f>VLOOKUP(C4,'Charges des villes'!A8:T307,20,FALSE)</f>
        <v>#N/A</v>
      </c>
    </row>
    <row r="26" spans="2:21" ht="22.5" customHeight="1" x14ac:dyDescent="0.25">
      <c r="B26" s="670"/>
      <c r="C26" s="670"/>
      <c r="D26" s="670"/>
      <c r="E26" s="670"/>
      <c r="F26" s="670"/>
      <c r="G26" s="674"/>
      <c r="I26" s="673" t="s">
        <v>396</v>
      </c>
      <c r="J26" s="673"/>
      <c r="K26" s="673"/>
      <c r="L26" s="673"/>
      <c r="M26" s="673"/>
      <c r="N26" s="3" t="e">
        <f>N23*O23+N24*O24</f>
        <v>#N/A</v>
      </c>
      <c r="P26" s="670"/>
      <c r="Q26" s="670"/>
      <c r="R26" s="670"/>
      <c r="S26" s="670"/>
      <c r="T26" s="670"/>
      <c r="U26" s="674"/>
    </row>
    <row r="27" spans="2:21" ht="22.5" customHeight="1" x14ac:dyDescent="0.25">
      <c r="B27" s="670" t="str">
        <f>_xlfn.CONCAT("La commune doit verser à la péréquation ",TEXT(Paramètres!C11,"0%")," de son impôt sur les frontaliers, ce qui correspond à CHF")</f>
        <v>La commune doit verser à la péréquation 30% de son impôt sur les frontaliers, ce qui correspond à CHF</v>
      </c>
      <c r="C27" s="670"/>
      <c r="D27" s="670"/>
      <c r="E27" s="670"/>
      <c r="F27" s="670"/>
      <c r="G27" s="674" t="e">
        <f>VLOOKUP(C4,Ressources!A8:Q307,17,FALSE)*Ressources!Q6</f>
        <v>#N/A</v>
      </c>
      <c r="I27" s="670" t="str">
        <f>_xlfn.CONCAT("Si elle avait un nombre d'élèves pondéré par habitant égale à ",TEXT('Besoins structurels'!V3,"0%")," de la moyenne cantonale, elle aurait le nombre d'élèves pondérés suivant")</f>
        <v>Si elle avait un nombre d'élèves pondéré par habitant égale à 120% de la moyenne cantonale, elle aurait le nombre d'élèves pondérés suivant</v>
      </c>
      <c r="J27" s="670"/>
      <c r="K27" s="670"/>
      <c r="L27" s="670"/>
      <c r="M27" s="670"/>
      <c r="N27" s="672" t="e">
        <f>VLOOKUP(C4,'Besoins structurels'!A8:T307,20,FALSE)</f>
        <v>#N/A</v>
      </c>
      <c r="P27" s="673" t="e">
        <f>IF(U27&gt;0,"La contribution nette de la commune est donc de CHF","La compensation nette en faveur de la commune est donc de CHF")</f>
        <v>#N/A</v>
      </c>
      <c r="Q27" s="673"/>
      <c r="R27" s="673"/>
      <c r="S27" s="673"/>
      <c r="T27" s="673"/>
      <c r="U27" s="42" t="e">
        <f>U25+U23</f>
        <v>#N/A</v>
      </c>
    </row>
    <row r="28" spans="2:21" ht="22.5" customHeight="1" x14ac:dyDescent="0.25">
      <c r="B28" s="670"/>
      <c r="C28" s="670"/>
      <c r="D28" s="670"/>
      <c r="E28" s="670"/>
      <c r="F28" s="670"/>
      <c r="G28" s="674"/>
      <c r="I28" s="670"/>
      <c r="J28" s="670"/>
      <c r="K28" s="670"/>
      <c r="L28" s="670"/>
      <c r="M28" s="670"/>
      <c r="N28" s="672"/>
    </row>
    <row r="29" spans="2:21" ht="22.5" customHeight="1" x14ac:dyDescent="0.25">
      <c r="B29" s="670" t="s">
        <v>556</v>
      </c>
      <c r="C29" s="670"/>
      <c r="D29" s="670"/>
      <c r="E29" s="670"/>
      <c r="F29" s="670"/>
      <c r="G29" s="674" t="e">
        <f>VLOOKUP(C4,Ressources!A8:S307,19,FALSE)</f>
        <v>#N/A</v>
      </c>
      <c r="I29" s="673" t="str">
        <f>_xlfn.CONCAT("L'écart entre ses élèves pondérés et ",TEXT('Besoins structurels'!V3,"0%")," de la moyenne est de")</f>
        <v>L'écart entre ses élèves pondérés et 120% de la moyenne est de</v>
      </c>
      <c r="J29" s="673"/>
      <c r="K29" s="673"/>
      <c r="L29" s="673"/>
      <c r="M29" s="673"/>
      <c r="N29" s="3" t="e">
        <f>N26-N27</f>
        <v>#N/A</v>
      </c>
      <c r="P29" s="222" t="s">
        <v>33</v>
      </c>
      <c r="Q29" s="223"/>
      <c r="R29" s="223"/>
      <c r="S29" s="223"/>
      <c r="T29" s="223"/>
      <c r="U29" s="223"/>
    </row>
    <row r="30" spans="2:21" ht="22.5" customHeight="1" x14ac:dyDescent="0.25">
      <c r="B30" s="670"/>
      <c r="C30" s="670"/>
      <c r="D30" s="670"/>
      <c r="E30" s="670"/>
      <c r="F30" s="670"/>
      <c r="G30" s="674"/>
      <c r="I30" s="670" t="e">
        <f>IF(N29&lt;0,_xlfn.CONCAT("Le nombre d'élèves pondéré de la commune étant inférieur à ",TEXT('Besoins structurels'!V3,"0%")," de la moyenne, celle-ci ne reçoit pas de compensation de ce mécanisme de la péréquation"), _xlfn.CONCAT("Le nombre d'élèves pondéré de la commune étant supérieur à ",TEXT('Besoins structurels'!V3,"0%")," de la moyenne, celle-ci reçoit CHF ",TEXT(Paramètres!G18,"#'##0")," par élève excédentaire, c'est-à-dire un total de CHF"))</f>
        <v>#N/A</v>
      </c>
      <c r="J30" s="670"/>
      <c r="K30" s="670"/>
      <c r="L30" s="670"/>
      <c r="M30" s="670"/>
      <c r="N30" s="678" t="e">
        <f>VLOOKUP(C4,'Besoins structurels'!A8:V307,22,FALSE)</f>
        <v>#N/A</v>
      </c>
      <c r="P30" s="673" t="s">
        <v>97</v>
      </c>
      <c r="Q30" s="673"/>
      <c r="R30" s="673"/>
      <c r="S30" s="673"/>
      <c r="T30" s="673"/>
      <c r="U30" s="14">
        <f>Police!Q3</f>
        <v>74269768</v>
      </c>
    </row>
    <row r="31" spans="2:21" ht="22.5" customHeight="1" x14ac:dyDescent="0.25">
      <c r="B31" s="673" t="e">
        <f>IF(G31&gt;0,"Au net, cette commune est contributrice de ce mécanisme pour CHF","Au net, cette commune est bénéficiaire de ce mécanisme pour CHF")</f>
        <v>#N/A</v>
      </c>
      <c r="C31" s="673"/>
      <c r="D31" s="673"/>
      <c r="E31" s="673"/>
      <c r="F31" s="673"/>
      <c r="G31" s="32" t="e">
        <f>SUM(G25:G30)</f>
        <v>#N/A</v>
      </c>
      <c r="I31" s="670"/>
      <c r="J31" s="670"/>
      <c r="K31" s="670"/>
      <c r="L31" s="670"/>
      <c r="M31" s="670"/>
      <c r="N31" s="678"/>
      <c r="P31" s="670" t="s">
        <v>98</v>
      </c>
      <c r="Q31" s="670"/>
      <c r="R31" s="670"/>
      <c r="S31" s="670"/>
      <c r="T31" s="670"/>
      <c r="U31" s="672">
        <f>Police!Q6/Police!C308</f>
        <v>30.0782651760072</v>
      </c>
    </row>
    <row r="32" spans="2:21" ht="22.5" customHeight="1" thickBot="1" x14ac:dyDescent="0.3">
      <c r="I32" s="85"/>
      <c r="J32" s="85"/>
      <c r="K32" s="85"/>
      <c r="L32" s="85"/>
      <c r="M32" s="85"/>
      <c r="N32" s="85"/>
      <c r="P32" s="670"/>
      <c r="Q32" s="670"/>
      <c r="R32" s="670"/>
      <c r="S32" s="670"/>
      <c r="T32" s="670"/>
      <c r="U32" s="672"/>
    </row>
    <row r="33" spans="2:21" ht="22.5" customHeight="1" thickTop="1" thickBot="1" x14ac:dyDescent="0.3">
      <c r="B33" s="222" t="s">
        <v>34</v>
      </c>
      <c r="C33" s="223"/>
      <c r="D33" s="223"/>
      <c r="E33" s="223"/>
      <c r="F33" s="223"/>
      <c r="G33" s="223"/>
      <c r="P33" s="670" t="e">
        <f>_xlfn.CONCAT(TEXT(1-Paramètres!C18,"0%")," de la facture est répartie exclusivement entre les communes délégatrices. Sa répartition se fait à ",TEXT(Paramètres!C19,"0%")," selon la population et à ",TEXT(Paramètres!C20,"0%")," selon la population pondérée.",IF(U33&gt;0," Pour une délégatrice de la taille de cette commune, la participation par habitant est de CHF","Cette commune n'étant pas délégatrice, elle ne finance pas cette partie de la facture"))</f>
        <v>#N/A</v>
      </c>
      <c r="Q33" s="670"/>
      <c r="R33" s="670"/>
      <c r="S33" s="670"/>
      <c r="T33" s="670"/>
      <c r="U33" s="672" t="e">
        <f>(VLOOKUP(C4,Police!A8:R307,18,FALSE)+VLOOKUP(C4,Police!A8:S307,19,FALSE)+VLOOKUP(C4,Police!A8:T307,20,FALSE))/'Détail par commune'!G4</f>
        <v>#N/A</v>
      </c>
    </row>
    <row r="34" spans="2:21" ht="22.5" customHeight="1" x14ac:dyDescent="0.25">
      <c r="B34" s="670" t="s">
        <v>99</v>
      </c>
      <c r="C34" s="670"/>
      <c r="D34" s="670"/>
      <c r="E34" s="670"/>
      <c r="F34" s="670"/>
      <c r="G34" s="675">
        <f>PCS!D4</f>
        <v>841431539</v>
      </c>
      <c r="I34" s="688" t="s">
        <v>474</v>
      </c>
      <c r="J34" s="690" t="s">
        <v>473</v>
      </c>
      <c r="K34" s="692" t="s">
        <v>475</v>
      </c>
      <c r="L34" s="694" t="s">
        <v>476</v>
      </c>
      <c r="M34" s="696" t="s">
        <v>487</v>
      </c>
      <c r="N34" s="696" t="s">
        <v>472</v>
      </c>
      <c r="P34" s="670"/>
      <c r="Q34" s="670"/>
      <c r="R34" s="670"/>
      <c r="S34" s="670"/>
      <c r="T34" s="670"/>
      <c r="U34" s="672"/>
    </row>
    <row r="35" spans="2:21" ht="22.5" customHeight="1" thickBot="1" x14ac:dyDescent="0.3">
      <c r="B35" s="670"/>
      <c r="C35" s="670"/>
      <c r="D35" s="670"/>
      <c r="E35" s="670"/>
      <c r="F35" s="670"/>
      <c r="G35" s="641"/>
      <c r="I35" s="689"/>
      <c r="J35" s="691"/>
      <c r="K35" s="693"/>
      <c r="L35" s="695"/>
      <c r="M35" s="697"/>
      <c r="N35" s="697"/>
      <c r="P35" s="670"/>
      <c r="Q35" s="670"/>
      <c r="R35" s="670"/>
      <c r="S35" s="670"/>
      <c r="T35" s="670"/>
      <c r="U35" s="672"/>
    </row>
    <row r="36" spans="2:21" ht="22.5" customHeight="1" thickBot="1" x14ac:dyDescent="0.3">
      <c r="B36" s="673" t="s">
        <v>96</v>
      </c>
      <c r="C36" s="673"/>
      <c r="D36" s="673"/>
      <c r="E36" s="673"/>
      <c r="F36" s="673"/>
      <c r="G36" s="14">
        <f>G34/Données!C308</f>
        <v>973.62442115835438</v>
      </c>
      <c r="I36" s="62" t="e">
        <f>VLOOKUP(C4,Synthèse!A8:F307,6,FALSE)</f>
        <v>#N/A</v>
      </c>
      <c r="J36" s="61" t="e">
        <f>VLOOKUP(C4,Synthèse!A8:J307,10,FALSE)</f>
        <v>#N/A</v>
      </c>
      <c r="K36" s="60" t="e">
        <f>VLOOKUP(C4,Synthèse!A8:M307,13,FALSE)</f>
        <v>#N/A</v>
      </c>
      <c r="L36" s="71" t="e">
        <f>VLOOKUP(C4,Synthèse!A8:N307,14,FALSE)</f>
        <v>#N/A</v>
      </c>
      <c r="M36" s="224" t="e">
        <f>VLOOKUP(C4,Synthèse!A8:T307,20,FALSE)</f>
        <v>#N/A</v>
      </c>
      <c r="N36" s="224" t="e">
        <f>VLOOKUP(C4,Synthèse!A8:U307,21,FALSE)</f>
        <v>#N/A</v>
      </c>
      <c r="P36" s="670"/>
      <c r="Q36" s="670"/>
      <c r="R36" s="670"/>
      <c r="S36" s="670"/>
      <c r="T36" s="670"/>
      <c r="U36" s="672"/>
    </row>
    <row r="37" spans="2:21" ht="22.5" customHeight="1" thickBot="1" x14ac:dyDescent="0.3">
      <c r="B37" s="670" t="e">
        <f>_xlfn.CONCAT("Avec sa population de ",TEXT(G4,"#'##0")," habitants, cette commune participe donc au financement de la PCS pour un total de CHF")</f>
        <v>#N/A</v>
      </c>
      <c r="C37" s="670"/>
      <c r="D37" s="670"/>
      <c r="E37" s="670"/>
      <c r="F37" s="670"/>
      <c r="G37" s="671" t="e">
        <f>G36*G4</f>
        <v>#N/A</v>
      </c>
      <c r="I37" s="687" t="s">
        <v>100</v>
      </c>
      <c r="J37" s="687"/>
      <c r="K37" s="687"/>
      <c r="L37" s="687"/>
      <c r="M37" s="687"/>
      <c r="N37" s="687"/>
      <c r="P37" s="670" t="e">
        <f>_xlfn.CONCAT("Avec sa population de ",TEXT(G4,"#'##0")," habitants, cette commune participe au financement de la facture policière pour un total de CHF")</f>
        <v>#N/A</v>
      </c>
      <c r="Q37" s="670"/>
      <c r="R37" s="670"/>
      <c r="S37" s="670"/>
      <c r="T37" s="670"/>
      <c r="U37" s="671" t="e">
        <f>VLOOKUP(C4,Police!A8:U307,21,FALSE)</f>
        <v>#N/A</v>
      </c>
    </row>
    <row r="38" spans="2:21" ht="22.5" customHeight="1" thickBot="1" x14ac:dyDescent="0.3">
      <c r="B38" s="670"/>
      <c r="C38" s="670"/>
      <c r="D38" s="670"/>
      <c r="E38" s="670"/>
      <c r="F38" s="670"/>
      <c r="G38" s="671"/>
      <c r="I38" s="684" t="s">
        <v>512</v>
      </c>
      <c r="J38" s="685"/>
      <c r="K38" s="685"/>
      <c r="L38" s="686"/>
      <c r="M38" s="682" t="e">
        <f>VLOOKUP(C4,Synthèse!A8:V307,22,FALSE)</f>
        <v>#N/A</v>
      </c>
      <c r="N38" s="683"/>
      <c r="P38" s="670"/>
      <c r="Q38" s="670"/>
      <c r="R38" s="670"/>
      <c r="S38" s="670"/>
      <c r="T38" s="670"/>
      <c r="U38" s="671"/>
    </row>
    <row r="39" spans="2:21" ht="22.5" customHeight="1" x14ac:dyDescent="0.25"/>
    <row r="40" spans="2:21" ht="22.5" customHeight="1" x14ac:dyDescent="0.25">
      <c r="P40" s="66"/>
      <c r="Q40" s="66"/>
      <c r="R40" s="66"/>
      <c r="S40" s="66"/>
      <c r="T40" s="66"/>
    </row>
    <row r="41" spans="2:21" ht="22.5" customHeight="1" x14ac:dyDescent="0.25"/>
    <row r="42" spans="2:21" ht="22.5" customHeight="1" x14ac:dyDescent="0.25"/>
    <row r="43" spans="2:21" ht="22.5" customHeight="1" x14ac:dyDescent="0.25"/>
    <row r="44" spans="2:21" ht="22.5" customHeight="1" x14ac:dyDescent="0.25"/>
    <row r="45" spans="2:21" ht="22.5" customHeight="1" x14ac:dyDescent="0.25"/>
    <row r="46" spans="2:21" ht="22.5" customHeight="1" x14ac:dyDescent="0.25"/>
    <row r="47" spans="2:21" ht="22.5" customHeight="1" x14ac:dyDescent="0.25"/>
    <row r="48" spans="2:21" ht="22.5" customHeight="1" x14ac:dyDescent="0.25"/>
    <row r="49" ht="22.5" customHeight="1" x14ac:dyDescent="0.25"/>
    <row r="50" ht="22.5" customHeight="1" x14ac:dyDescent="0.25"/>
    <row r="51" ht="22.5" customHeight="1" x14ac:dyDescent="0.25"/>
    <row r="52" ht="22.5" customHeight="1" x14ac:dyDescent="0.25"/>
    <row r="53" ht="22.5" customHeight="1" x14ac:dyDescent="0.25"/>
    <row r="54" ht="22.5" customHeight="1" x14ac:dyDescent="0.25"/>
    <row r="55" ht="22.5" customHeight="1" x14ac:dyDescent="0.25"/>
    <row r="56" ht="22.5" customHeight="1" x14ac:dyDescent="0.25"/>
    <row r="57" ht="22.5" customHeight="1" x14ac:dyDescent="0.25"/>
    <row r="58" ht="22.5" customHeight="1" x14ac:dyDescent="0.25"/>
    <row r="59" ht="22.5" customHeight="1" x14ac:dyDescent="0.25"/>
    <row r="60" ht="22.5" customHeight="1" x14ac:dyDescent="0.25"/>
    <row r="61" ht="22.5" customHeight="1" x14ac:dyDescent="0.25"/>
    <row r="62" ht="22.5" customHeight="1" x14ac:dyDescent="0.25"/>
    <row r="63" ht="22.5" customHeight="1" x14ac:dyDescent="0.25"/>
    <row r="64" ht="22.5" customHeight="1" x14ac:dyDescent="0.25"/>
    <row r="65" ht="22.5" customHeight="1" x14ac:dyDescent="0.25"/>
    <row r="66" ht="22.5" customHeight="1" x14ac:dyDescent="0.25"/>
    <row r="67" ht="22.5" customHeight="1" x14ac:dyDescent="0.25"/>
    <row r="68" ht="22.5" customHeight="1" x14ac:dyDescent="0.25"/>
    <row r="69" ht="22.5" customHeight="1" x14ac:dyDescent="0.25"/>
    <row r="70" ht="22.5" customHeight="1" x14ac:dyDescent="0.25"/>
    <row r="71" ht="22.5" customHeight="1" x14ac:dyDescent="0.25"/>
    <row r="72" ht="22.5" customHeight="1" x14ac:dyDescent="0.25"/>
    <row r="73" ht="22.5" customHeight="1" x14ac:dyDescent="0.25"/>
    <row r="74" ht="22.5" customHeight="1" x14ac:dyDescent="0.25"/>
    <row r="75" ht="22.5" customHeight="1" x14ac:dyDescent="0.25"/>
    <row r="76" ht="22.5" customHeight="1" x14ac:dyDescent="0.25"/>
    <row r="77" ht="22.5" customHeight="1" x14ac:dyDescent="0.25"/>
    <row r="78" ht="22.5" customHeight="1" x14ac:dyDescent="0.25"/>
    <row r="79" ht="22.5" customHeight="1" x14ac:dyDescent="0.25"/>
    <row r="80" ht="22.5" customHeight="1" x14ac:dyDescent="0.25"/>
    <row r="81" ht="22.5" customHeight="1" x14ac:dyDescent="0.25"/>
    <row r="82" ht="22.5" customHeight="1" x14ac:dyDescent="0.25"/>
    <row r="83" ht="22.5" customHeight="1" x14ac:dyDescent="0.25"/>
    <row r="84" ht="22.5" customHeight="1" x14ac:dyDescent="0.25"/>
    <row r="85" ht="22.5" customHeight="1" x14ac:dyDescent="0.25"/>
    <row r="86" ht="22.5" customHeight="1" x14ac:dyDescent="0.25"/>
    <row r="87" ht="22.5" customHeight="1" x14ac:dyDescent="0.25"/>
    <row r="88" ht="22.5" customHeight="1" x14ac:dyDescent="0.25"/>
    <row r="89" ht="22.5" customHeight="1" x14ac:dyDescent="0.25"/>
    <row r="90" ht="22.5" customHeight="1" x14ac:dyDescent="0.25"/>
    <row r="91" ht="22.5" customHeight="1" x14ac:dyDescent="0.25"/>
    <row r="92" ht="22.5" customHeight="1" x14ac:dyDescent="0.25"/>
    <row r="93" ht="22.5" customHeight="1" x14ac:dyDescent="0.25"/>
    <row r="94" ht="22.5" customHeight="1" x14ac:dyDescent="0.25"/>
    <row r="95" ht="22.5" customHeight="1" x14ac:dyDescent="0.25"/>
    <row r="96" ht="22.5" customHeight="1" x14ac:dyDescent="0.25"/>
    <row r="97" ht="22.5" customHeight="1" x14ac:dyDescent="0.25"/>
    <row r="98" ht="22.5" customHeight="1" x14ac:dyDescent="0.25"/>
    <row r="99" ht="22.5" customHeight="1" x14ac:dyDescent="0.25"/>
    <row r="100" ht="22.5" customHeight="1" x14ac:dyDescent="0.25"/>
    <row r="101" ht="22.5" customHeight="1" x14ac:dyDescent="0.25"/>
    <row r="102" ht="22.5" customHeight="1" x14ac:dyDescent="0.25"/>
    <row r="103" ht="22.5" customHeight="1" x14ac:dyDescent="0.25"/>
    <row r="104" ht="22.5" customHeight="1" x14ac:dyDescent="0.25"/>
    <row r="105" ht="22.5" customHeight="1" x14ac:dyDescent="0.25"/>
    <row r="106" ht="22.5" customHeight="1" x14ac:dyDescent="0.25"/>
    <row r="107" ht="22.5" customHeight="1" x14ac:dyDescent="0.25"/>
    <row r="108" ht="22.5" customHeight="1" x14ac:dyDescent="0.25"/>
    <row r="109" ht="22.5" customHeight="1" x14ac:dyDescent="0.25"/>
    <row r="110" ht="22.5" customHeight="1" x14ac:dyDescent="0.25"/>
    <row r="111" ht="22.5" customHeight="1" x14ac:dyDescent="0.25"/>
    <row r="112" ht="22.5" customHeight="1" x14ac:dyDescent="0.25"/>
    <row r="113" ht="22.5" customHeight="1" x14ac:dyDescent="0.25"/>
    <row r="114" ht="22.5" customHeight="1" x14ac:dyDescent="0.25"/>
    <row r="115" ht="22.5" customHeight="1" x14ac:dyDescent="0.25"/>
    <row r="116" ht="22.5" customHeight="1" x14ac:dyDescent="0.25"/>
    <row r="117" ht="22.5" customHeight="1" x14ac:dyDescent="0.25"/>
    <row r="118" ht="22.5" customHeight="1" x14ac:dyDescent="0.25"/>
    <row r="119" ht="22.5" customHeight="1" x14ac:dyDescent="0.25"/>
    <row r="120" ht="22.5" customHeight="1" x14ac:dyDescent="0.25"/>
    <row r="121" ht="22.5" customHeight="1" x14ac:dyDescent="0.25"/>
    <row r="122" ht="22.5" customHeight="1" x14ac:dyDescent="0.25"/>
    <row r="123" ht="22.5" customHeight="1" x14ac:dyDescent="0.25"/>
    <row r="124" ht="22.5" customHeight="1" x14ac:dyDescent="0.25"/>
    <row r="125" ht="22.5" customHeight="1" x14ac:dyDescent="0.25"/>
    <row r="126" ht="22.5" customHeight="1" x14ac:dyDescent="0.25"/>
    <row r="127" ht="22.5" customHeight="1" x14ac:dyDescent="0.25"/>
    <row r="128" ht="22.5" customHeight="1" x14ac:dyDescent="0.25"/>
    <row r="129" ht="22.5" customHeight="1" x14ac:dyDescent="0.25"/>
    <row r="130" ht="22.5" customHeight="1" x14ac:dyDescent="0.25"/>
    <row r="131" ht="22.5" customHeight="1" x14ac:dyDescent="0.25"/>
    <row r="132" ht="22.5" customHeight="1" x14ac:dyDescent="0.25"/>
    <row r="133" ht="22.5" customHeight="1" x14ac:dyDescent="0.25"/>
    <row r="134" ht="22.5" customHeight="1" x14ac:dyDescent="0.25"/>
    <row r="135" ht="22.5" customHeight="1" x14ac:dyDescent="0.25"/>
    <row r="136" ht="22.5" customHeight="1" x14ac:dyDescent="0.25"/>
    <row r="137" ht="22.5" customHeight="1" x14ac:dyDescent="0.25"/>
    <row r="138" ht="22.5" customHeight="1" x14ac:dyDescent="0.25"/>
    <row r="139" ht="22.5" customHeight="1" x14ac:dyDescent="0.25"/>
    <row r="140" ht="22.5" customHeight="1" x14ac:dyDescent="0.25"/>
    <row r="141" ht="22.5" customHeight="1" x14ac:dyDescent="0.25"/>
    <row r="142" ht="22.5" customHeight="1" x14ac:dyDescent="0.25"/>
    <row r="143" ht="22.5" customHeight="1" x14ac:dyDescent="0.25"/>
    <row r="144" ht="22.5" customHeight="1" x14ac:dyDescent="0.25"/>
    <row r="145" ht="22.5" customHeight="1" x14ac:dyDescent="0.25"/>
    <row r="146" ht="22.5" customHeight="1" x14ac:dyDescent="0.25"/>
    <row r="147" ht="22.5" customHeight="1" x14ac:dyDescent="0.25"/>
    <row r="148" ht="22.5" customHeight="1" x14ac:dyDescent="0.25"/>
    <row r="149" ht="22.5" customHeight="1" x14ac:dyDescent="0.25"/>
    <row r="150" ht="22.5" customHeight="1" x14ac:dyDescent="0.25"/>
    <row r="151" ht="22.5" customHeight="1" x14ac:dyDescent="0.25"/>
    <row r="152" ht="22.5" customHeight="1" x14ac:dyDescent="0.25"/>
    <row r="153" ht="22.5" customHeight="1" x14ac:dyDescent="0.25"/>
    <row r="154" ht="22.5" customHeight="1" x14ac:dyDescent="0.25"/>
    <row r="155" ht="22.5" customHeight="1" x14ac:dyDescent="0.25"/>
    <row r="156" ht="22.5" customHeight="1" x14ac:dyDescent="0.25"/>
    <row r="157" ht="22.5" customHeight="1" x14ac:dyDescent="0.25"/>
    <row r="158" ht="22.5" customHeight="1" x14ac:dyDescent="0.25"/>
    <row r="159" ht="22.5" customHeight="1" x14ac:dyDescent="0.25"/>
    <row r="160" ht="22.5" customHeight="1" x14ac:dyDescent="0.25"/>
    <row r="161" ht="22.5" customHeight="1" x14ac:dyDescent="0.25"/>
    <row r="162" ht="22.5" customHeight="1" x14ac:dyDescent="0.25"/>
    <row r="163" ht="22.5" customHeight="1" x14ac:dyDescent="0.25"/>
    <row r="164" ht="22.5" customHeight="1" x14ac:dyDescent="0.25"/>
    <row r="165" ht="22.5" customHeight="1" x14ac:dyDescent="0.25"/>
    <row r="166" ht="22.5" customHeight="1" x14ac:dyDescent="0.25"/>
    <row r="167" ht="22.5" customHeight="1" x14ac:dyDescent="0.25"/>
    <row r="168" ht="22.5" customHeight="1" x14ac:dyDescent="0.25"/>
    <row r="169" ht="22.5" customHeight="1" x14ac:dyDescent="0.25"/>
    <row r="170" ht="22.5" customHeight="1" x14ac:dyDescent="0.25"/>
    <row r="171" ht="22.5" customHeight="1" x14ac:dyDescent="0.25"/>
    <row r="172" ht="22.5" customHeight="1" x14ac:dyDescent="0.25"/>
    <row r="173" ht="22.5" customHeight="1" x14ac:dyDescent="0.25"/>
    <row r="174" ht="22.5" customHeight="1" x14ac:dyDescent="0.25"/>
    <row r="175" ht="22.5" customHeight="1" x14ac:dyDescent="0.25"/>
    <row r="176" ht="22.5" customHeight="1" x14ac:dyDescent="0.25"/>
    <row r="177" ht="22.5" customHeight="1" x14ac:dyDescent="0.25"/>
    <row r="178" ht="22.5" customHeight="1" x14ac:dyDescent="0.25"/>
    <row r="179" ht="22.5" customHeight="1" x14ac:dyDescent="0.25"/>
    <row r="180" ht="22.5" customHeight="1" x14ac:dyDescent="0.25"/>
    <row r="181" ht="22.5" customHeight="1" x14ac:dyDescent="0.25"/>
    <row r="182" ht="22.5" customHeight="1" x14ac:dyDescent="0.25"/>
    <row r="183" ht="22.5" customHeight="1" x14ac:dyDescent="0.25"/>
    <row r="184" ht="22.5" customHeight="1" x14ac:dyDescent="0.25"/>
    <row r="185" ht="22.5" customHeight="1" x14ac:dyDescent="0.25"/>
    <row r="186" ht="22.5" customHeight="1" x14ac:dyDescent="0.25"/>
    <row r="187" ht="22.5" customHeight="1" x14ac:dyDescent="0.25"/>
    <row r="188" ht="22.5" customHeight="1" x14ac:dyDescent="0.25"/>
    <row r="189" ht="22.5" customHeight="1" x14ac:dyDescent="0.25"/>
    <row r="190" ht="22.5" customHeight="1" x14ac:dyDescent="0.25"/>
    <row r="191" ht="22.5" customHeight="1" x14ac:dyDescent="0.25"/>
    <row r="192" ht="22.5" customHeight="1" x14ac:dyDescent="0.25"/>
    <row r="193" ht="22.5" customHeight="1" x14ac:dyDescent="0.25"/>
    <row r="194" ht="22.5" customHeight="1" x14ac:dyDescent="0.25"/>
    <row r="195" ht="22.5" customHeight="1" x14ac:dyDescent="0.25"/>
    <row r="196" ht="22.5" customHeight="1" x14ac:dyDescent="0.25"/>
    <row r="197" ht="22.5" customHeight="1" x14ac:dyDescent="0.25"/>
    <row r="198" ht="22.5" customHeight="1" x14ac:dyDescent="0.25"/>
    <row r="199" ht="22.5" customHeight="1" x14ac:dyDescent="0.25"/>
    <row r="200" ht="22.5" customHeight="1" x14ac:dyDescent="0.25"/>
    <row r="201" ht="22.5" customHeight="1" x14ac:dyDescent="0.25"/>
    <row r="202" ht="22.5" customHeight="1" x14ac:dyDescent="0.25"/>
    <row r="203" ht="22.5" customHeight="1" x14ac:dyDescent="0.25"/>
    <row r="204" ht="22.5" customHeight="1" x14ac:dyDescent="0.25"/>
    <row r="205" ht="22.5" customHeight="1" x14ac:dyDescent="0.25"/>
    <row r="206" ht="22.5" customHeight="1" x14ac:dyDescent="0.25"/>
    <row r="207" ht="22.5" customHeight="1" x14ac:dyDescent="0.25"/>
    <row r="208" ht="22.5" customHeight="1" x14ac:dyDescent="0.25"/>
    <row r="209" ht="22.5" customHeight="1" x14ac:dyDescent="0.25"/>
    <row r="210" ht="22.5" customHeight="1" x14ac:dyDescent="0.25"/>
    <row r="211" ht="22.5" customHeight="1" x14ac:dyDescent="0.25"/>
    <row r="212" ht="22.5" customHeight="1" x14ac:dyDescent="0.25"/>
    <row r="213" ht="22.5" customHeight="1" x14ac:dyDescent="0.25"/>
    <row r="214" ht="22.5" customHeight="1" x14ac:dyDescent="0.25"/>
    <row r="215" ht="22.5" customHeight="1" x14ac:dyDescent="0.25"/>
    <row r="216" ht="22.5" customHeight="1" x14ac:dyDescent="0.25"/>
    <row r="217" ht="22.5" customHeight="1" x14ac:dyDescent="0.25"/>
    <row r="218" ht="22.5" customHeight="1" x14ac:dyDescent="0.25"/>
    <row r="219" ht="22.5" customHeight="1" x14ac:dyDescent="0.25"/>
    <row r="220" ht="22.5" customHeight="1" x14ac:dyDescent="0.25"/>
    <row r="221" ht="22.5" customHeight="1" x14ac:dyDescent="0.25"/>
    <row r="222" ht="22.5" customHeight="1" x14ac:dyDescent="0.25"/>
    <row r="223" ht="22.5" customHeight="1" x14ac:dyDescent="0.25"/>
    <row r="224" ht="22.5" customHeight="1" x14ac:dyDescent="0.25"/>
    <row r="225" ht="22.5" customHeight="1" x14ac:dyDescent="0.25"/>
    <row r="226" ht="22.5" customHeight="1" x14ac:dyDescent="0.25"/>
    <row r="227" ht="22.5" customHeight="1" x14ac:dyDescent="0.25"/>
    <row r="228" ht="22.5" customHeight="1" x14ac:dyDescent="0.25"/>
    <row r="229" ht="22.5" customHeight="1" x14ac:dyDescent="0.25"/>
    <row r="230" ht="22.5" customHeight="1" x14ac:dyDescent="0.25"/>
    <row r="231" ht="22.5" customHeight="1" x14ac:dyDescent="0.25"/>
    <row r="232" ht="22.5" customHeight="1" x14ac:dyDescent="0.25"/>
    <row r="233" ht="22.5" customHeight="1" x14ac:dyDescent="0.25"/>
    <row r="234" ht="22.5" customHeight="1" x14ac:dyDescent="0.25"/>
    <row r="235" ht="22.5" customHeight="1" x14ac:dyDescent="0.25"/>
    <row r="236" ht="22.5" customHeight="1" x14ac:dyDescent="0.25"/>
    <row r="237" ht="22.5" customHeight="1" x14ac:dyDescent="0.25"/>
    <row r="238" ht="22.5" customHeight="1" x14ac:dyDescent="0.25"/>
    <row r="239" ht="22.5" customHeight="1" x14ac:dyDescent="0.25"/>
    <row r="240" ht="22.5" customHeight="1" x14ac:dyDescent="0.25"/>
    <row r="241" ht="22.5" customHeight="1" x14ac:dyDescent="0.25"/>
    <row r="242" ht="22.5" customHeight="1" x14ac:dyDescent="0.25"/>
    <row r="243" ht="22.5" customHeight="1" x14ac:dyDescent="0.25"/>
    <row r="244" ht="22.5" customHeight="1" x14ac:dyDescent="0.25"/>
    <row r="245" ht="22.5" customHeight="1" x14ac:dyDescent="0.25"/>
    <row r="246" ht="22.5" customHeight="1" x14ac:dyDescent="0.25"/>
    <row r="247" ht="22.5" customHeight="1" x14ac:dyDescent="0.25"/>
    <row r="248" ht="22.5" customHeight="1" x14ac:dyDescent="0.25"/>
    <row r="249" ht="22.5" customHeight="1" x14ac:dyDescent="0.25"/>
    <row r="250" ht="22.5" customHeight="1" x14ac:dyDescent="0.25"/>
    <row r="251" ht="22.5" customHeight="1" x14ac:dyDescent="0.25"/>
    <row r="252" ht="22.5" customHeight="1" x14ac:dyDescent="0.25"/>
    <row r="253" ht="22.5" customHeight="1" x14ac:dyDescent="0.25"/>
    <row r="254" ht="22.5" customHeight="1" x14ac:dyDescent="0.25"/>
    <row r="255" ht="22.5" customHeight="1" x14ac:dyDescent="0.25"/>
    <row r="256" ht="22.5" customHeight="1" x14ac:dyDescent="0.25"/>
  </sheetData>
  <sheetProtection sheet="1" objects="1" scenarios="1"/>
  <sortState xmlns:xlrd2="http://schemas.microsoft.com/office/spreadsheetml/2017/richdata2" ref="W5:W304">
    <sortCondition ref="W5:W304"/>
  </sortState>
  <mergeCells count="86">
    <mergeCell ref="I6:M6"/>
    <mergeCell ref="B2:C2"/>
    <mergeCell ref="D2:G2"/>
    <mergeCell ref="B6:F6"/>
    <mergeCell ref="B7:F7"/>
    <mergeCell ref="B8:E9"/>
    <mergeCell ref="B27:F28"/>
    <mergeCell ref="G27:G28"/>
    <mergeCell ref="I7:M8"/>
    <mergeCell ref="N7:N8"/>
    <mergeCell ref="I9:M9"/>
    <mergeCell ref="B20:F22"/>
    <mergeCell ref="G20:G22"/>
    <mergeCell ref="B25:F26"/>
    <mergeCell ref="G25:G26"/>
    <mergeCell ref="B19:F19"/>
    <mergeCell ref="B10:F12"/>
    <mergeCell ref="B16:F18"/>
    <mergeCell ref="G10:G12"/>
    <mergeCell ref="B13:F13"/>
    <mergeCell ref="G16:G18"/>
    <mergeCell ref="N30:N31"/>
    <mergeCell ref="B31:F31"/>
    <mergeCell ref="I34:I35"/>
    <mergeCell ref="J34:J35"/>
    <mergeCell ref="K34:K35"/>
    <mergeCell ref="L34:L35"/>
    <mergeCell ref="M34:M35"/>
    <mergeCell ref="N34:N35"/>
    <mergeCell ref="G29:G30"/>
    <mergeCell ref="B34:F35"/>
    <mergeCell ref="G34:G35"/>
    <mergeCell ref="B29:F30"/>
    <mergeCell ref="I29:M29"/>
    <mergeCell ref="I30:M31"/>
    <mergeCell ref="M38:N38"/>
    <mergeCell ref="I38:L38"/>
    <mergeCell ref="B36:F36"/>
    <mergeCell ref="B37:F38"/>
    <mergeCell ref="G37:G38"/>
    <mergeCell ref="I37:N37"/>
    <mergeCell ref="P18:T18"/>
    <mergeCell ref="P21:T22"/>
    <mergeCell ref="P16:T17"/>
    <mergeCell ref="I17:K18"/>
    <mergeCell ref="I19:M20"/>
    <mergeCell ref="N19:N20"/>
    <mergeCell ref="L17:M18"/>
    <mergeCell ref="I15:M16"/>
    <mergeCell ref="N15:N16"/>
    <mergeCell ref="N17:N18"/>
    <mergeCell ref="P7:R7"/>
    <mergeCell ref="P8:R8"/>
    <mergeCell ref="P9:R9"/>
    <mergeCell ref="P10:R10"/>
    <mergeCell ref="P11:R11"/>
    <mergeCell ref="P12:R12"/>
    <mergeCell ref="P13:R13"/>
    <mergeCell ref="I10:M11"/>
    <mergeCell ref="N10:N11"/>
    <mergeCell ref="I14:M14"/>
    <mergeCell ref="I26:M26"/>
    <mergeCell ref="I27:M28"/>
    <mergeCell ref="N27:N28"/>
    <mergeCell ref="N24:N25"/>
    <mergeCell ref="U23:U24"/>
    <mergeCell ref="I23:M23"/>
    <mergeCell ref="I24:M25"/>
    <mergeCell ref="O24:O25"/>
    <mergeCell ref="P23:T24"/>
    <mergeCell ref="T2:U3"/>
    <mergeCell ref="W1:W2"/>
    <mergeCell ref="X1:X2"/>
    <mergeCell ref="V1:V2"/>
    <mergeCell ref="P37:T38"/>
    <mergeCell ref="U37:U38"/>
    <mergeCell ref="P33:T36"/>
    <mergeCell ref="U33:U36"/>
    <mergeCell ref="P27:T27"/>
    <mergeCell ref="U31:U32"/>
    <mergeCell ref="P30:T30"/>
    <mergeCell ref="P31:T32"/>
    <mergeCell ref="U25:U26"/>
    <mergeCell ref="P25:T26"/>
    <mergeCell ref="U21:U22"/>
    <mergeCell ref="U16:U17"/>
  </mergeCells>
  <conditionalFormatting sqref="G10">
    <cfRule type="cellIs" dxfId="33" priority="13" operator="lessThan">
      <formula>0</formula>
    </cfRule>
    <cfRule type="cellIs" dxfId="32" priority="14" operator="greaterThan">
      <formula>0</formula>
    </cfRule>
  </conditionalFormatting>
  <conditionalFormatting sqref="G13 I36:N36">
    <cfRule type="cellIs" dxfId="31" priority="47" operator="lessThan">
      <formula>0</formula>
    </cfRule>
    <cfRule type="cellIs" dxfId="30" priority="48" operator="greaterThan">
      <formula>0</formula>
    </cfRule>
  </conditionalFormatting>
  <conditionalFormatting sqref="G20">
    <cfRule type="cellIs" dxfId="29" priority="45" operator="lessThan">
      <formula>0</formula>
    </cfRule>
    <cfRule type="cellIs" dxfId="28" priority="46" operator="greaterThan">
      <formula>0</formula>
    </cfRule>
  </conditionalFormatting>
  <conditionalFormatting sqref="G25 G27 G29">
    <cfRule type="cellIs" dxfId="27" priority="21" operator="lessThan">
      <formula>0</formula>
    </cfRule>
    <cfRule type="cellIs" dxfId="26" priority="22" operator="greaterThan">
      <formula>0</formula>
    </cfRule>
  </conditionalFormatting>
  <conditionalFormatting sqref="G31">
    <cfRule type="cellIs" dxfId="25" priority="43" operator="lessThan">
      <formula>0</formula>
    </cfRule>
    <cfRule type="cellIs" dxfId="24" priority="44" operator="greaterThan">
      <formula>0</formula>
    </cfRule>
  </conditionalFormatting>
  <conditionalFormatting sqref="G37">
    <cfRule type="cellIs" dxfId="23" priority="41" operator="lessThan">
      <formula>0</formula>
    </cfRule>
    <cfRule type="cellIs" dxfId="22" priority="42" operator="greaterThan">
      <formula>0</formula>
    </cfRule>
  </conditionalFormatting>
  <conditionalFormatting sqref="M38">
    <cfRule type="cellIs" dxfId="21" priority="1" operator="lessThan">
      <formula>0</formula>
    </cfRule>
    <cfRule type="cellIs" dxfId="20" priority="2" operator="greaterThan">
      <formula>0</formula>
    </cfRule>
  </conditionalFormatting>
  <conditionalFormatting sqref="N10">
    <cfRule type="cellIs" dxfId="19" priority="39" operator="lessThan">
      <formula>0</formula>
    </cfRule>
    <cfRule type="cellIs" dxfId="18" priority="40" operator="greaterThan">
      <formula>0</formula>
    </cfRule>
  </conditionalFormatting>
  <conditionalFormatting sqref="N19">
    <cfRule type="cellIs" dxfId="17" priority="5" operator="lessThan">
      <formula>0</formula>
    </cfRule>
    <cfRule type="cellIs" dxfId="16" priority="6" operator="greaterThan">
      <formula>0</formula>
    </cfRule>
  </conditionalFormatting>
  <conditionalFormatting sqref="N30">
    <cfRule type="cellIs" dxfId="15" priority="35" operator="lessThan">
      <formula>0</formula>
    </cfRule>
    <cfRule type="cellIs" dxfId="14" priority="36" operator="greaterThan">
      <formula>0</formula>
    </cfRule>
  </conditionalFormatting>
  <conditionalFormatting sqref="U7:U14">
    <cfRule type="cellIs" dxfId="13" priority="15" operator="lessThan">
      <formula>0</formula>
    </cfRule>
    <cfRule type="cellIs" dxfId="12" priority="16" operator="greaterThan">
      <formula>0</formula>
    </cfRule>
  </conditionalFormatting>
  <conditionalFormatting sqref="U16">
    <cfRule type="cellIs" dxfId="11" priority="33" operator="lessThan">
      <formula>0</formula>
    </cfRule>
    <cfRule type="cellIs" dxfId="10" priority="34" operator="greaterThan">
      <formula>0</formula>
    </cfRule>
  </conditionalFormatting>
  <conditionalFormatting sqref="U18">
    <cfRule type="cellIs" dxfId="9" priority="29" operator="lessThan">
      <formula>0</formula>
    </cfRule>
    <cfRule type="cellIs" dxfId="8" priority="30" operator="greaterThan">
      <formula>0</formula>
    </cfRule>
  </conditionalFormatting>
  <conditionalFormatting sqref="U23 U25">
    <cfRule type="cellIs" dxfId="7" priority="25" operator="lessThan">
      <formula>0</formula>
    </cfRule>
    <cfRule type="cellIs" dxfId="6" priority="26" operator="greaterThan">
      <formula>0</formula>
    </cfRule>
  </conditionalFormatting>
  <conditionalFormatting sqref="U27">
    <cfRule type="cellIs" dxfId="5" priority="27" operator="lessThan">
      <formula>0</formula>
    </cfRule>
    <cfRule type="cellIs" dxfId="4" priority="28" operator="greaterThan">
      <formula>0</formula>
    </cfRule>
  </conditionalFormatting>
  <conditionalFormatting sqref="U37">
    <cfRule type="cellIs" dxfId="3" priority="19" operator="lessThan">
      <formula>0</formula>
    </cfRule>
    <cfRule type="cellIs" dxfId="2" priority="20" operator="greaterThan">
      <formula>0</formula>
    </cfRule>
  </conditionalFormatting>
  <hyperlinks>
    <hyperlink ref="W1" location="'Table des matières'!A1" display="'Table des matières'!A1" xr:uid="{DA2A51E6-5E15-4B1C-BACB-46CBF4677D94}"/>
    <hyperlink ref="X1:X2" location="'Données par commune'!A1" display="Suivant →" xr:uid="{882FD33F-64B3-4913-80D4-BAA3F4257D23}"/>
    <hyperlink ref="V1:V2" location="'Synthèse par commune'!A1" display="← Précédent" xr:uid="{00F1F0C1-B85E-48BD-B4A6-F4FBD30EEEE7}"/>
  </hyperlinks>
  <printOptions horizontalCentered="1" verticalCentered="1"/>
  <pageMargins left="0.70866141732283472" right="0.70866141732283472" top="0.74803149606299213" bottom="0.74803149606299213" header="0.31496062992125984" footer="0.31496062992125984"/>
  <pageSetup paperSize="8" scale="7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CEF1620-E0B7-4BCA-ACD6-0F62DAF722CC}">
          <x14:formula1>
            <xm:f>Paramètres!$A$23:$A$322</xm:f>
          </x14:formula1>
          <xm:sqref>D2:G2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D765B-F4BB-43AE-8D15-7D3B8983C76D}">
  <sheetPr>
    <tabColor theme="0" tint="-4.9989318521683403E-2"/>
    <pageSetUpPr fitToPage="1"/>
  </sheetPr>
  <dimension ref="B1:M43"/>
  <sheetViews>
    <sheetView zoomScale="90" zoomScaleNormal="90" workbookViewId="0"/>
  </sheetViews>
  <sheetFormatPr baseColWidth="10" defaultRowHeight="15" outlineLevelRow="1" x14ac:dyDescent="0.25"/>
  <cols>
    <col min="1" max="1" width="5.7109375" style="4" customWidth="1"/>
    <col min="2" max="2" width="18.5703125" style="4" customWidth="1"/>
    <col min="3" max="3" width="20" style="4" customWidth="1"/>
    <col min="4" max="4" width="18.7109375" style="4" customWidth="1"/>
    <col min="5" max="5" width="5.7109375" style="4" customWidth="1"/>
    <col min="6" max="6" width="18.5703125" style="4" customWidth="1"/>
    <col min="7" max="7" width="20" style="4" customWidth="1"/>
    <col min="8" max="8" width="18.7109375" style="4" customWidth="1"/>
    <col min="9" max="9" width="7.28515625" style="4" customWidth="1"/>
    <col min="10" max="16384" width="11.42578125" style="4"/>
  </cols>
  <sheetData>
    <row r="1" spans="2:13" ht="30" customHeight="1" thickTop="1" thickBot="1" x14ac:dyDescent="0.3">
      <c r="B1" s="651" t="str">
        <f>_xlfn.CONCAT("Données de référence par commune (",Paramètres!O5,")")</f>
        <v>Données de référence par commune (2025)</v>
      </c>
      <c r="C1" s="652"/>
      <c r="D1" s="652"/>
      <c r="E1" s="652"/>
      <c r="F1" s="652"/>
      <c r="G1" s="652"/>
      <c r="H1" s="653"/>
      <c r="J1" s="443" t="s">
        <v>441</v>
      </c>
      <c r="K1" s="98" t="s">
        <v>442</v>
      </c>
      <c r="L1" s="343"/>
      <c r="M1" s="98"/>
    </row>
    <row r="2" spans="2:13" ht="15" customHeight="1" thickTop="1" x14ac:dyDescent="0.2">
      <c r="B2" s="168"/>
      <c r="C2" s="171"/>
      <c r="E2" s="170"/>
      <c r="F2" s="170" t="s">
        <v>485</v>
      </c>
      <c r="G2" s="170"/>
      <c r="J2" s="443"/>
      <c r="L2" s="347"/>
    </row>
    <row r="3" spans="2:13" ht="22.5" customHeight="1" x14ac:dyDescent="0.25">
      <c r="B3" s="171" t="s">
        <v>393</v>
      </c>
      <c r="C3" s="657"/>
      <c r="D3" s="658"/>
      <c r="E3" s="709"/>
      <c r="F3" s="172" t="e">
        <f>VLOOKUP(C3,Paramètres!A23:B322,2,FALSE)</f>
        <v>#N/A</v>
      </c>
    </row>
    <row r="4" spans="2:13" ht="15" customHeight="1" x14ac:dyDescent="0.2">
      <c r="B4" s="168"/>
      <c r="C4" s="168"/>
      <c r="D4" s="177" t="s">
        <v>490</v>
      </c>
      <c r="E4" s="177"/>
      <c r="F4" s="6"/>
    </row>
    <row r="5" spans="2:13" ht="22.5" customHeight="1" x14ac:dyDescent="0.25">
      <c r="B5" s="706" t="s">
        <v>540</v>
      </c>
      <c r="C5" s="707"/>
      <c r="D5" s="708"/>
      <c r="E5" s="174"/>
      <c r="F5" s="712" t="s">
        <v>541</v>
      </c>
      <c r="G5" s="712"/>
      <c r="H5" s="710"/>
      <c r="I5" s="171"/>
    </row>
    <row r="6" spans="2:13" ht="22.5" customHeight="1" outlineLevel="1" x14ac:dyDescent="0.2">
      <c r="B6" s="348" t="s">
        <v>3</v>
      </c>
      <c r="C6" s="349"/>
      <c r="D6" s="173" t="e">
        <f>VLOOKUP($F$3,Données!$A$8:$W$307,6)</f>
        <v>#N/A</v>
      </c>
      <c r="E6" s="177"/>
      <c r="F6" s="344" t="s">
        <v>29</v>
      </c>
      <c r="G6" s="346"/>
      <c r="H6" s="350" t="e">
        <f>VLOOKUP($F$3,Données!A8:AE307,3)</f>
        <v>#N/A</v>
      </c>
      <c r="I6" s="174"/>
    </row>
    <row r="7" spans="2:13" ht="22.5" customHeight="1" outlineLevel="1" x14ac:dyDescent="0.2">
      <c r="B7" s="344" t="s">
        <v>4</v>
      </c>
      <c r="C7" s="345"/>
      <c r="D7" s="173" t="e">
        <f>VLOOKUP($F$3,Données!$A$8:$W$307,7)</f>
        <v>#N/A</v>
      </c>
      <c r="E7" s="177"/>
      <c r="F7" s="344" t="s">
        <v>30</v>
      </c>
      <c r="G7" s="346"/>
      <c r="H7" s="350" t="e">
        <f>VLOOKUP($F$3,Données!A8:AE307,24)</f>
        <v>#N/A</v>
      </c>
      <c r="I7" s="174"/>
    </row>
    <row r="8" spans="2:13" ht="22.5" customHeight="1" outlineLevel="1" x14ac:dyDescent="0.2">
      <c r="B8" s="344" t="s">
        <v>5</v>
      </c>
      <c r="C8" s="345"/>
      <c r="D8" s="173" t="e">
        <f>VLOOKUP($F$3,Données!$A$8:$W$307,8)</f>
        <v>#N/A</v>
      </c>
      <c r="E8" s="177"/>
      <c r="F8" s="344" t="s">
        <v>414</v>
      </c>
      <c r="G8" s="346"/>
      <c r="H8" s="350" t="e">
        <f>VLOOKUP($F$3,Données!A8:AE307,25)</f>
        <v>#N/A</v>
      </c>
      <c r="I8" s="174"/>
    </row>
    <row r="9" spans="2:13" ht="22.5" customHeight="1" outlineLevel="1" x14ac:dyDescent="0.2">
      <c r="B9" s="344" t="s">
        <v>6</v>
      </c>
      <c r="C9" s="345"/>
      <c r="D9" s="173" t="e">
        <f>VLOOKUP($F$3,Données!$A$8:$W$307,9)</f>
        <v>#N/A</v>
      </c>
      <c r="E9" s="177"/>
      <c r="F9" s="344" t="s">
        <v>417</v>
      </c>
      <c r="G9" s="346"/>
      <c r="H9" s="370" t="e">
        <f>VLOOKUP($F$3,Données!A8:AE307,26)</f>
        <v>#N/A</v>
      </c>
      <c r="I9" s="174"/>
    </row>
    <row r="10" spans="2:13" ht="22.5" customHeight="1" outlineLevel="1" x14ac:dyDescent="0.2">
      <c r="B10" s="344" t="s">
        <v>7</v>
      </c>
      <c r="C10" s="345"/>
      <c r="D10" s="173" t="e">
        <f>VLOOKUP($F$3,Données!$A$8:$W$307,10)</f>
        <v>#N/A</v>
      </c>
      <c r="E10" s="177"/>
      <c r="F10" s="344" t="s">
        <v>551</v>
      </c>
      <c r="G10" s="346"/>
      <c r="H10" s="350" t="e">
        <f>VLOOKUP($F$3,Données!A8:AE307,27)</f>
        <v>#N/A</v>
      </c>
      <c r="I10" s="174"/>
    </row>
    <row r="11" spans="2:13" ht="22.5" customHeight="1" outlineLevel="1" x14ac:dyDescent="0.2">
      <c r="B11" s="344" t="s">
        <v>54</v>
      </c>
      <c r="C11" s="345"/>
      <c r="D11" s="173" t="e">
        <f>VLOOKUP($F$3,Données!$A$8:$W$307,11)</f>
        <v>#N/A</v>
      </c>
      <c r="E11" s="177"/>
      <c r="F11" s="344" t="s">
        <v>546</v>
      </c>
      <c r="G11" s="346"/>
      <c r="H11" s="350" t="e">
        <f>VLOOKUP($F$3,Données!A8:AE307,28)</f>
        <v>#N/A</v>
      </c>
      <c r="I11" s="174"/>
    </row>
    <row r="12" spans="2:13" ht="22.5" customHeight="1" outlineLevel="1" x14ac:dyDescent="0.2">
      <c r="B12" s="344" t="s">
        <v>44</v>
      </c>
      <c r="C12" s="345"/>
      <c r="D12" s="173" t="e">
        <f>VLOOKUP($F$3,Données!$A$8:$W$307,12)</f>
        <v>#N/A</v>
      </c>
      <c r="E12" s="177"/>
      <c r="F12" s="344" t="str">
        <f>_xlfn.CONCAT("Déficit du trafic urbain (budget ",Paramètres!O5,")")</f>
        <v>Déficit du trafic urbain (budget 2025)</v>
      </c>
      <c r="G12" s="349"/>
      <c r="H12" s="350" t="e">
        <f>VLOOKUP($F$3,Données!A8:AE307,29)</f>
        <v>#N/A</v>
      </c>
      <c r="I12" s="174"/>
    </row>
    <row r="13" spans="2:13" ht="22.5" customHeight="1" outlineLevel="1" x14ac:dyDescent="0.2">
      <c r="B13" s="344" t="s">
        <v>548</v>
      </c>
      <c r="C13" s="345"/>
      <c r="D13" s="173" t="e">
        <f>VLOOKUP($F$3,Données!$A$8:$W$307,13)</f>
        <v>#N/A</v>
      </c>
      <c r="E13" s="177"/>
      <c r="F13" s="348" t="str">
        <f>_xlfn.CONCAT("Déficit du trafic urbain (solde ",Paramètres!O5-1,")")</f>
        <v>Déficit du trafic urbain (solde 2024)</v>
      </c>
      <c r="G13" s="349"/>
      <c r="H13" s="350" t="e">
        <f>VLOOKUP($F$3,Données!A8:AE307,30)</f>
        <v>#N/A</v>
      </c>
      <c r="I13" s="174"/>
    </row>
    <row r="14" spans="2:13" ht="22.5" customHeight="1" outlineLevel="1" x14ac:dyDescent="0.2">
      <c r="B14" s="344" t="s">
        <v>547</v>
      </c>
      <c r="C14" s="345"/>
      <c r="D14" s="173" t="e">
        <f>VLOOKUP($F$3,Données!$A$8:$W$307,14)</f>
        <v>#N/A</v>
      </c>
      <c r="E14" s="177"/>
      <c r="F14" s="348" t="s">
        <v>24</v>
      </c>
      <c r="G14" s="349"/>
      <c r="H14" s="350" t="e">
        <f>IF(VLOOKUP($F$3,Données!A8:AE307,31)=1,"PolCom", "Polcant")</f>
        <v>#N/A</v>
      </c>
    </row>
    <row r="15" spans="2:13" ht="22.5" customHeight="1" outlineLevel="1" x14ac:dyDescent="0.2">
      <c r="B15" s="344" t="s">
        <v>9</v>
      </c>
      <c r="C15" s="345"/>
      <c r="D15" s="173" t="e">
        <f>VLOOKUP($F$3,Données!$A$8:$W$307,15)</f>
        <v>#N/A</v>
      </c>
      <c r="E15" s="177"/>
    </row>
    <row r="16" spans="2:13" ht="22.5" customHeight="1" outlineLevel="1" x14ac:dyDescent="0.2">
      <c r="B16" s="344" t="s">
        <v>8</v>
      </c>
      <c r="C16" s="345"/>
      <c r="D16" s="173" t="e">
        <f>VLOOKUP($F$3,Données!$A$8:$W$307,16)</f>
        <v>#N/A</v>
      </c>
      <c r="E16" s="177"/>
      <c r="F16" s="710" t="s">
        <v>553</v>
      </c>
      <c r="G16" s="710"/>
      <c r="H16" s="710"/>
    </row>
    <row r="17" spans="2:8" ht="22.5" customHeight="1" outlineLevel="1" x14ac:dyDescent="0.2">
      <c r="B17" s="344" t="s">
        <v>545</v>
      </c>
      <c r="C17" s="345"/>
      <c r="D17" s="173" t="e">
        <f>VLOOKUP($F$3,Données!$A$8:$W$307,17)</f>
        <v>#N/A</v>
      </c>
      <c r="E17" s="177"/>
      <c r="F17" s="711" t="s">
        <v>552</v>
      </c>
      <c r="G17" s="711"/>
      <c r="H17" s="354" t="e">
        <f>VLOOKUP($F$3,Données!A8:AE307,4)</f>
        <v>#N/A</v>
      </c>
    </row>
    <row r="18" spans="2:8" ht="22.5" customHeight="1" outlineLevel="1" x14ac:dyDescent="0.2">
      <c r="B18" s="344" t="s">
        <v>35</v>
      </c>
      <c r="C18" s="345"/>
      <c r="D18" s="173" t="e">
        <f>VLOOKUP($F$3,Données!$A$8:$W$307,18)</f>
        <v>#N/A</v>
      </c>
      <c r="E18" s="177"/>
      <c r="F18" s="711" t="s">
        <v>56</v>
      </c>
      <c r="G18" s="711"/>
      <c r="H18" s="354">
        <f>RFS!T4</f>
        <v>67.313676189020896</v>
      </c>
    </row>
    <row r="19" spans="2:8" ht="22.5" customHeight="1" outlineLevel="1" x14ac:dyDescent="0.2">
      <c r="B19" s="344" t="s">
        <v>38</v>
      </c>
      <c r="C19" s="345"/>
      <c r="D19" s="173" t="e">
        <f>VLOOKUP($F$3,Données!$A$8:$W$307,19)</f>
        <v>#N/A</v>
      </c>
      <c r="E19" s="177"/>
      <c r="F19" s="711" t="s">
        <v>542</v>
      </c>
      <c r="G19" s="711"/>
      <c r="H19" s="354" t="e">
        <f>VLOOKUP($F$3,Données!A8:AE307,5)</f>
        <v>#N/A</v>
      </c>
    </row>
    <row r="20" spans="2:8" ht="22.5" customHeight="1" outlineLevel="1" x14ac:dyDescent="0.2">
      <c r="B20" s="348" t="s">
        <v>39</v>
      </c>
      <c r="C20" s="349"/>
      <c r="D20" s="173" t="e">
        <f>VLOOKUP($F$3,Données!$A$8:$W$307,20)</f>
        <v>#N/A</v>
      </c>
      <c r="E20" s="177"/>
    </row>
    <row r="21" spans="2:8" ht="22.5" customHeight="1" outlineLevel="1" x14ac:dyDescent="0.2">
      <c r="B21" s="348" t="s">
        <v>40</v>
      </c>
      <c r="C21" s="349"/>
      <c r="D21" s="173" t="e">
        <f>VLOOKUP($F$3,Données!$A$8:$W$307,21)</f>
        <v>#N/A</v>
      </c>
      <c r="E21" s="177"/>
      <c r="F21" s="710" t="s">
        <v>550</v>
      </c>
      <c r="G21" s="710"/>
      <c r="H21" s="710"/>
    </row>
    <row r="22" spans="2:8" ht="21.75" customHeight="1" x14ac:dyDescent="0.25">
      <c r="B22" s="348" t="s">
        <v>41</v>
      </c>
      <c r="C22" s="349"/>
      <c r="D22" s="173" t="e">
        <f>VLOOKUP($F$3,Données!$A$8:$W$307,22)</f>
        <v>#N/A</v>
      </c>
      <c r="E22" s="174"/>
      <c r="F22" s="711" t="s">
        <v>543</v>
      </c>
      <c r="G22" s="711"/>
      <c r="H22" s="173" t="e">
        <f>VLOOKUP(F3,Ressources!A8:F307,6,FALSE)</f>
        <v>#N/A</v>
      </c>
    </row>
    <row r="23" spans="2:8" ht="22.5" customHeight="1" x14ac:dyDescent="0.25">
      <c r="B23" s="351" t="s">
        <v>549</v>
      </c>
      <c r="C23" s="352"/>
      <c r="D23" s="353" t="e">
        <f>VLOOKUP($F$3,Données!$A$8:$W$307,23)</f>
        <v>#N/A</v>
      </c>
      <c r="E23" s="174"/>
      <c r="F23" s="711" t="s">
        <v>557</v>
      </c>
      <c r="G23" s="711"/>
      <c r="H23" s="173">
        <f>Ressources!F6</f>
        <v>3462.7334313389024</v>
      </c>
    </row>
    <row r="24" spans="2:8" ht="22.5" customHeight="1" outlineLevel="1" x14ac:dyDescent="0.25">
      <c r="E24" s="174"/>
    </row>
    <row r="25" spans="2:8" ht="22.5" customHeight="1" outlineLevel="1" x14ac:dyDescent="0.25">
      <c r="E25" s="174"/>
    </row>
    <row r="26" spans="2:8" ht="22.5" customHeight="1" outlineLevel="1" x14ac:dyDescent="0.25">
      <c r="E26" s="174"/>
    </row>
    <row r="27" spans="2:8" ht="11.25" customHeight="1" x14ac:dyDescent="0.25">
      <c r="E27" s="174"/>
    </row>
    <row r="28" spans="2:8" ht="22.5" customHeight="1" x14ac:dyDescent="0.25">
      <c r="E28" s="174"/>
    </row>
    <row r="29" spans="2:8" ht="22.5" customHeight="1" outlineLevel="1" x14ac:dyDescent="0.25">
      <c r="E29" s="174"/>
    </row>
    <row r="30" spans="2:8" ht="22.5" customHeight="1" outlineLevel="1" x14ac:dyDescent="0.25">
      <c r="E30" s="174"/>
    </row>
    <row r="31" spans="2:8" ht="11.25" customHeight="1" x14ac:dyDescent="0.25">
      <c r="E31" s="174"/>
    </row>
    <row r="32" spans="2:8" ht="22.5" customHeight="1" x14ac:dyDescent="0.25">
      <c r="E32" s="174"/>
    </row>
    <row r="33" spans="5:5" ht="27" customHeight="1" x14ac:dyDescent="0.25">
      <c r="E33" s="174"/>
    </row>
    <row r="34" spans="5:5" ht="27" customHeight="1" x14ac:dyDescent="0.25">
      <c r="E34" s="174"/>
    </row>
    <row r="35" spans="5:5" ht="22.5" customHeight="1" x14ac:dyDescent="0.25">
      <c r="E35" s="175"/>
    </row>
    <row r="36" spans="5:5" ht="11.25" customHeight="1" x14ac:dyDescent="0.25">
      <c r="E36" s="175"/>
    </row>
    <row r="37" spans="5:5" ht="22.5" customHeight="1" x14ac:dyDescent="0.25">
      <c r="E37" s="175"/>
    </row>
    <row r="38" spans="5:5" ht="11.25" customHeight="1" x14ac:dyDescent="0.25">
      <c r="E38" s="175"/>
    </row>
    <row r="39" spans="5:5" ht="22.5" customHeight="1" x14ac:dyDescent="0.25">
      <c r="E39" s="175"/>
    </row>
    <row r="40" spans="5:5" ht="22.5" customHeight="1" x14ac:dyDescent="0.25">
      <c r="E40" s="175"/>
    </row>
    <row r="41" spans="5:5" ht="22.5" customHeight="1" x14ac:dyDescent="0.25">
      <c r="E41" s="175"/>
    </row>
    <row r="42" spans="5:5" ht="11.25" customHeight="1" x14ac:dyDescent="0.25">
      <c r="E42" s="175"/>
    </row>
    <row r="43" spans="5:5" ht="22.5" customHeight="1" x14ac:dyDescent="0.25">
      <c r="E43" s="176"/>
    </row>
  </sheetData>
  <sheetProtection sheet="1" objects="1" scenarios="1"/>
  <mergeCells count="11">
    <mergeCell ref="F18:G18"/>
    <mergeCell ref="F19:G19"/>
    <mergeCell ref="F22:G22"/>
    <mergeCell ref="F23:G23"/>
    <mergeCell ref="F5:H5"/>
    <mergeCell ref="F21:H21"/>
    <mergeCell ref="B1:H1"/>
    <mergeCell ref="B5:D5"/>
    <mergeCell ref="C3:E3"/>
    <mergeCell ref="F16:H16"/>
    <mergeCell ref="F17:G17"/>
  </mergeCells>
  <hyperlinks>
    <hyperlink ref="K1" location="'Table des matières'!A1" display="'Table des matières'!A1" xr:uid="{DDD1807D-A38D-4ECB-AD62-186C8B6BAD9F}"/>
    <hyperlink ref="J1:J2" location="'Synthèse par commune'!A1" display="← Précédent" xr:uid="{45CA2272-7AB1-4578-BB99-8A8EC152B2C1}"/>
    <hyperlink ref="J1" location="'Détail par commune'!A1" display="← Précédent" xr:uid="{5AEB37F4-D530-4333-83D1-5491305F38A2}"/>
  </hyperlinks>
  <printOptions horizontalCentered="1"/>
  <pageMargins left="0.70866141732283472" right="0.70866141732283472" top="0.74803149606299213" bottom="0.74803149606299213" header="0.31496062992125984" footer="0.31496062992125984"/>
  <pageSetup paperSize="9" scale="98"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82B9DAE-A539-4D6E-B86E-CE2D30BB30E8}">
          <x14:formula1>
            <xm:f>Paramètres!$A$23:$A$322</xm:f>
          </x14:formula1>
          <xm:sqref>C3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DCAD6-9C7D-47D6-A776-ADB6BC42D16A}">
  <sheetPr>
    <tabColor rgb="FFCCCCFF"/>
    <pageSetUpPr autoPageBreaks="0"/>
  </sheetPr>
  <dimension ref="A1:Z309"/>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11" width="14.42578125" style="1" customWidth="1"/>
    <col min="12" max="12" width="12.5703125" style="1" customWidth="1"/>
    <col min="13" max="14" width="14.42578125" style="1" customWidth="1"/>
    <col min="15" max="19" width="4.28515625" style="1" customWidth="1"/>
    <col min="20" max="20" width="17.140625" style="1" customWidth="1"/>
    <col min="21" max="22" width="13.7109375" style="1" customWidth="1"/>
    <col min="23" max="23" width="11.85546875" style="1" customWidth="1"/>
    <col min="24" max="16384" width="11.42578125" style="1"/>
  </cols>
  <sheetData>
    <row r="1" spans="1:26" s="4" customFormat="1" ht="26.25" x14ac:dyDescent="0.25">
      <c r="A1" s="8" t="s">
        <v>422</v>
      </c>
      <c r="C1" s="96" t="s">
        <v>441</v>
      </c>
      <c r="D1" s="98" t="s">
        <v>442</v>
      </c>
      <c r="E1" s="98" t="s">
        <v>497</v>
      </c>
      <c r="F1" s="98" t="s">
        <v>486</v>
      </c>
    </row>
    <row r="2" spans="1:26" s="4" customFormat="1" ht="15" customHeight="1" x14ac:dyDescent="0.25">
      <c r="A2" s="48" t="s">
        <v>564</v>
      </c>
    </row>
    <row r="3" spans="1:26" s="4" customFormat="1" ht="15" customHeight="1" x14ac:dyDescent="0.25">
      <c r="A3" s="636"/>
      <c r="B3" s="636"/>
      <c r="C3" s="19"/>
    </row>
    <row r="4" spans="1:26" s="4" customFormat="1" ht="15" customHeight="1" x14ac:dyDescent="0.25">
      <c r="A4" s="636"/>
      <c r="B4" s="636"/>
      <c r="C4" s="19"/>
      <c r="D4" s="167"/>
      <c r="E4" s="167"/>
      <c r="F4" s="167"/>
      <c r="G4" s="167"/>
      <c r="H4" s="167"/>
      <c r="I4" s="167"/>
    </row>
    <row r="5" spans="1:26" s="4" customFormat="1" ht="15" customHeight="1" x14ac:dyDescent="0.25">
      <c r="A5" s="525" t="s">
        <v>0</v>
      </c>
      <c r="B5" s="525" t="s">
        <v>1</v>
      </c>
      <c r="C5" s="621" t="s">
        <v>448</v>
      </c>
      <c r="D5" s="622"/>
      <c r="E5" s="622"/>
      <c r="F5" s="623"/>
      <c r="G5" s="627" t="s">
        <v>449</v>
      </c>
      <c r="H5" s="628"/>
      <c r="I5" s="628"/>
      <c r="J5" s="629"/>
      <c r="K5" s="564" t="s">
        <v>450</v>
      </c>
      <c r="L5" s="565"/>
      <c r="M5" s="566"/>
      <c r="N5" s="83">
        <v>1</v>
      </c>
      <c r="P5" s="526" t="s">
        <v>445</v>
      </c>
      <c r="Q5" s="612" t="s">
        <v>446</v>
      </c>
      <c r="R5" s="614" t="s">
        <v>447</v>
      </c>
      <c r="S5" s="616" t="s">
        <v>482</v>
      </c>
      <c r="T5" s="608" t="s">
        <v>444</v>
      </c>
      <c r="U5" s="609"/>
      <c r="V5" s="182" t="s">
        <v>415</v>
      </c>
    </row>
    <row r="6" spans="1:26" s="4" customFormat="1" ht="15" customHeight="1" x14ac:dyDescent="0.25">
      <c r="A6" s="525"/>
      <c r="B6" s="525"/>
      <c r="C6" s="624"/>
      <c r="D6" s="625"/>
      <c r="E6" s="625"/>
      <c r="F6" s="626"/>
      <c r="G6" s="630"/>
      <c r="H6" s="631"/>
      <c r="I6" s="631"/>
      <c r="J6" s="632"/>
      <c r="K6" s="633"/>
      <c r="L6" s="634"/>
      <c r="M6" s="635"/>
      <c r="N6" s="637" t="s">
        <v>489</v>
      </c>
      <c r="O6" s="5"/>
      <c r="P6" s="527"/>
      <c r="Q6" s="613"/>
      <c r="R6" s="615"/>
      <c r="S6" s="617"/>
      <c r="T6" s="610"/>
      <c r="U6" s="611"/>
      <c r="V6" s="68" t="s">
        <v>563</v>
      </c>
    </row>
    <row r="7" spans="1:26" s="4" customFormat="1" ht="37.5" customHeight="1" x14ac:dyDescent="0.25">
      <c r="A7" s="525"/>
      <c r="B7" s="525"/>
      <c r="C7" s="190" t="s">
        <v>430</v>
      </c>
      <c r="D7" s="191" t="s">
        <v>11</v>
      </c>
      <c r="E7" s="191" t="s">
        <v>20</v>
      </c>
      <c r="F7" s="187" t="s">
        <v>21</v>
      </c>
      <c r="G7" s="188" t="s">
        <v>30</v>
      </c>
      <c r="H7" s="188" t="s">
        <v>480</v>
      </c>
      <c r="I7" s="188" t="s">
        <v>43</v>
      </c>
      <c r="J7" s="188" t="s">
        <v>21</v>
      </c>
      <c r="K7" s="189" t="s">
        <v>29</v>
      </c>
      <c r="L7" s="189" t="s">
        <v>419</v>
      </c>
      <c r="M7" s="189" t="s">
        <v>21</v>
      </c>
      <c r="N7" s="638"/>
      <c r="P7" s="618" t="s">
        <v>451</v>
      </c>
      <c r="Q7" s="619"/>
      <c r="R7" s="619"/>
      <c r="S7" s="620"/>
      <c r="T7" s="212" t="s">
        <v>398</v>
      </c>
      <c r="U7" s="220" t="s">
        <v>33</v>
      </c>
      <c r="V7" s="211" t="s">
        <v>21</v>
      </c>
      <c r="W7" s="216" t="s">
        <v>565</v>
      </c>
    </row>
    <row r="8" spans="1:26" ht="15" customHeight="1" x14ac:dyDescent="0.25">
      <c r="A8" s="110">
        <v>5401</v>
      </c>
      <c r="B8" s="118" t="s">
        <v>66</v>
      </c>
      <c r="C8" s="392">
        <v>-14274198.970224243</v>
      </c>
      <c r="D8" s="392">
        <v>0</v>
      </c>
      <c r="E8" s="393">
        <v>-939319.55833225348</v>
      </c>
      <c r="F8" s="394">
        <v>-15213518.528556496</v>
      </c>
      <c r="G8" s="392">
        <v>0</v>
      </c>
      <c r="H8" s="392">
        <v>-2062</v>
      </c>
      <c r="I8" s="392">
        <v>0</v>
      </c>
      <c r="J8" s="395">
        <v>-2062</v>
      </c>
      <c r="K8" s="392">
        <v>288993.25703460723</v>
      </c>
      <c r="L8" s="392">
        <v>401787.29916393792</v>
      </c>
      <c r="M8" s="396">
        <v>690780.55619854515</v>
      </c>
      <c r="N8" s="394">
        <v>0</v>
      </c>
      <c r="P8" s="713">
        <v>-14524799.972357951</v>
      </c>
      <c r="Q8" s="714"/>
      <c r="R8" s="714"/>
      <c r="S8" s="715"/>
      <c r="T8" s="397">
        <v>11099474.609327864</v>
      </c>
      <c r="U8" s="398">
        <v>351290.45721875021</v>
      </c>
      <c r="V8" s="399">
        <v>-3074034.9058113368</v>
      </c>
      <c r="W8" s="415">
        <v>351290.45721875021</v>
      </c>
      <c r="X8" s="180"/>
      <c r="Y8" s="180"/>
      <c r="Z8" s="15"/>
    </row>
    <row r="9" spans="1:26" ht="15" customHeight="1" x14ac:dyDescent="0.25">
      <c r="A9" s="111">
        <v>5402</v>
      </c>
      <c r="B9" s="119" t="s">
        <v>105</v>
      </c>
      <c r="C9" s="400">
        <v>-11393323.255949399</v>
      </c>
      <c r="D9" s="400">
        <v>-48149</v>
      </c>
      <c r="E9" s="401">
        <v>-580323.07702988654</v>
      </c>
      <c r="F9" s="397">
        <v>-12021795.332979284</v>
      </c>
      <c r="G9" s="400">
        <v>0</v>
      </c>
      <c r="H9" s="400">
        <v>-212675</v>
      </c>
      <c r="I9" s="400">
        <v>0</v>
      </c>
      <c r="J9" s="402">
        <v>-212675</v>
      </c>
      <c r="K9" s="400">
        <v>500642.64082154166</v>
      </c>
      <c r="L9" s="400">
        <v>554964.16085396381</v>
      </c>
      <c r="M9" s="15">
        <v>1055606.8016755055</v>
      </c>
      <c r="N9" s="397">
        <v>-147500</v>
      </c>
      <c r="P9" s="713">
        <v>-11326363.531303778</v>
      </c>
      <c r="Q9" s="714"/>
      <c r="R9" s="714"/>
      <c r="S9" s="715"/>
      <c r="T9" s="397">
        <v>8256914.3985452019</v>
      </c>
      <c r="U9" s="398">
        <v>261325.45335464954</v>
      </c>
      <c r="V9" s="403">
        <v>-2808123.6794039267</v>
      </c>
      <c r="W9" s="416">
        <v>261325.45335464954</v>
      </c>
      <c r="X9" s="180"/>
      <c r="Y9" s="180"/>
      <c r="Z9" s="15"/>
    </row>
    <row r="10" spans="1:26" x14ac:dyDescent="0.25">
      <c r="A10" s="111">
        <v>5403</v>
      </c>
      <c r="B10" s="119" t="s">
        <v>106</v>
      </c>
      <c r="C10" s="400">
        <v>-657737.25975275808</v>
      </c>
      <c r="D10" s="400">
        <v>0</v>
      </c>
      <c r="E10" s="401">
        <v>-78062.297900624253</v>
      </c>
      <c r="F10" s="397">
        <v>-735799.5576533823</v>
      </c>
      <c r="G10" s="400">
        <v>0</v>
      </c>
      <c r="H10" s="400">
        <v>0</v>
      </c>
      <c r="I10" s="400">
        <v>-24226</v>
      </c>
      <c r="J10" s="402">
        <v>-24226</v>
      </c>
      <c r="K10" s="400">
        <v>238167.71082535342</v>
      </c>
      <c r="L10" s="400">
        <v>60546.008119793987</v>
      </c>
      <c r="M10" s="15">
        <v>298713.71894514741</v>
      </c>
      <c r="N10" s="397">
        <v>0</v>
      </c>
      <c r="P10" s="713">
        <v>-461311.83870823489</v>
      </c>
      <c r="Q10" s="714"/>
      <c r="R10" s="714"/>
      <c r="S10" s="715"/>
      <c r="T10" s="397">
        <v>503683.42417077569</v>
      </c>
      <c r="U10" s="398">
        <v>76716.360631874719</v>
      </c>
      <c r="V10" s="403">
        <v>119087.94609441551</v>
      </c>
      <c r="W10" s="416">
        <v>15941.221237783629</v>
      </c>
      <c r="X10" s="180"/>
      <c r="Y10" s="180"/>
      <c r="Z10" s="15"/>
    </row>
    <row r="11" spans="1:26" x14ac:dyDescent="0.25">
      <c r="A11" s="111">
        <v>5404</v>
      </c>
      <c r="B11" s="119" t="s">
        <v>107</v>
      </c>
      <c r="C11" s="400">
        <v>-638239.5580183462</v>
      </c>
      <c r="D11" s="400">
        <v>-6847</v>
      </c>
      <c r="E11" s="401">
        <v>-11519.967978592787</v>
      </c>
      <c r="F11" s="397">
        <v>-656606.52599693905</v>
      </c>
      <c r="G11" s="400">
        <v>-179859</v>
      </c>
      <c r="H11" s="400">
        <v>-176133</v>
      </c>
      <c r="I11" s="400">
        <v>0</v>
      </c>
      <c r="J11" s="402">
        <v>-355992</v>
      </c>
      <c r="K11" s="400">
        <v>212928.35804039307</v>
      </c>
      <c r="L11" s="400">
        <v>54129.764484748375</v>
      </c>
      <c r="M11" s="15">
        <v>267058.12252514146</v>
      </c>
      <c r="N11" s="397">
        <v>0</v>
      </c>
      <c r="P11" s="713">
        <v>-745540.40347179759</v>
      </c>
      <c r="Q11" s="714"/>
      <c r="R11" s="714"/>
      <c r="S11" s="715"/>
      <c r="T11" s="397">
        <v>450306.56804477831</v>
      </c>
      <c r="U11" s="398">
        <v>68586.495825028644</v>
      </c>
      <c r="V11" s="403">
        <v>-226647.33960199065</v>
      </c>
      <c r="W11" s="416">
        <v>14251.881800253572</v>
      </c>
      <c r="X11" s="180"/>
      <c r="Y11" s="180"/>
      <c r="Z11" s="15"/>
    </row>
    <row r="12" spans="1:26" x14ac:dyDescent="0.25">
      <c r="A12" s="111">
        <v>5405</v>
      </c>
      <c r="B12" s="119" t="s">
        <v>108</v>
      </c>
      <c r="C12" s="400">
        <v>341689.16732470808</v>
      </c>
      <c r="D12" s="400">
        <v>0</v>
      </c>
      <c r="E12" s="401">
        <v>314381.88851840299</v>
      </c>
      <c r="F12" s="397">
        <v>656071.05584311113</v>
      </c>
      <c r="G12" s="400">
        <v>-22508</v>
      </c>
      <c r="H12" s="400">
        <v>-542626</v>
      </c>
      <c r="I12" s="400">
        <v>0</v>
      </c>
      <c r="J12" s="402">
        <v>-565134</v>
      </c>
      <c r="K12" s="400">
        <v>573233.13032468874</v>
      </c>
      <c r="L12" s="400">
        <v>177321.64227762399</v>
      </c>
      <c r="M12" s="15">
        <v>750554.77260231273</v>
      </c>
      <c r="N12" s="397">
        <v>-128800</v>
      </c>
      <c r="P12" s="713">
        <v>712691.82844542386</v>
      </c>
      <c r="Q12" s="714"/>
      <c r="R12" s="714"/>
      <c r="S12" s="715"/>
      <c r="T12" s="397">
        <v>1475142.2056639288</v>
      </c>
      <c r="U12" s="398">
        <v>237701.58006547199</v>
      </c>
      <c r="V12" s="403">
        <v>2425535.6141748247</v>
      </c>
      <c r="W12" s="416">
        <v>46687.199000830668</v>
      </c>
      <c r="X12" s="180"/>
      <c r="Y12" s="180"/>
      <c r="Z12" s="15"/>
    </row>
    <row r="13" spans="1:26" x14ac:dyDescent="0.25">
      <c r="A13" s="111">
        <v>5406</v>
      </c>
      <c r="B13" s="119" t="s">
        <v>109</v>
      </c>
      <c r="C13" s="400">
        <v>-1373374.8896861323</v>
      </c>
      <c r="D13" s="400">
        <v>-6980</v>
      </c>
      <c r="E13" s="401">
        <v>-38760.831733021187</v>
      </c>
      <c r="F13" s="397">
        <v>-1419115.7214191535</v>
      </c>
      <c r="G13" s="400">
        <v>-47321</v>
      </c>
      <c r="H13" s="400">
        <v>-12563</v>
      </c>
      <c r="I13" s="400">
        <v>-46068</v>
      </c>
      <c r="J13" s="402">
        <v>-105952</v>
      </c>
      <c r="K13" s="400">
        <v>463734.60750360641</v>
      </c>
      <c r="L13" s="400">
        <v>119225.47263666561</v>
      </c>
      <c r="M13" s="15">
        <v>582960.08014027204</v>
      </c>
      <c r="N13" s="397">
        <v>0</v>
      </c>
      <c r="P13" s="713">
        <v>-942107.64127888146</v>
      </c>
      <c r="Q13" s="714"/>
      <c r="R13" s="714"/>
      <c r="S13" s="715"/>
      <c r="T13" s="397">
        <v>991839.03565035213</v>
      </c>
      <c r="U13" s="398">
        <v>151618.58691218751</v>
      </c>
      <c r="V13" s="403">
        <v>201349.98128365818</v>
      </c>
      <c r="W13" s="416">
        <v>31390.998275558512</v>
      </c>
      <c r="X13" s="180"/>
      <c r="Y13" s="180"/>
      <c r="Z13" s="15"/>
    </row>
    <row r="14" spans="1:26" ht="15" customHeight="1" x14ac:dyDescent="0.25">
      <c r="A14" s="111">
        <v>5407</v>
      </c>
      <c r="B14" s="119" t="s">
        <v>110</v>
      </c>
      <c r="C14" s="400">
        <v>-4395306.5083320346</v>
      </c>
      <c r="D14" s="400">
        <v>0</v>
      </c>
      <c r="E14" s="401">
        <v>-103545.79471373372</v>
      </c>
      <c r="F14" s="397">
        <v>-4498852.3030457683</v>
      </c>
      <c r="G14" s="400">
        <v>0</v>
      </c>
      <c r="H14" s="400">
        <v>-1529485</v>
      </c>
      <c r="I14" s="400">
        <v>0</v>
      </c>
      <c r="J14" s="402">
        <v>-1529485</v>
      </c>
      <c r="K14" s="400">
        <v>845972.92594197532</v>
      </c>
      <c r="L14" s="400">
        <v>435021.31845609203</v>
      </c>
      <c r="M14" s="15">
        <v>1280994.2443980672</v>
      </c>
      <c r="N14" s="397">
        <v>-408800</v>
      </c>
      <c r="P14" s="713">
        <v>-5156143.0586477015</v>
      </c>
      <c r="Q14" s="714"/>
      <c r="R14" s="714"/>
      <c r="S14" s="715"/>
      <c r="T14" s="397">
        <v>3618950.8453426254</v>
      </c>
      <c r="U14" s="398">
        <v>628671.30875460175</v>
      </c>
      <c r="V14" s="403">
        <v>-908520.90455047437</v>
      </c>
      <c r="W14" s="416">
        <v>114537.21386453786</v>
      </c>
      <c r="X14" s="180"/>
      <c r="Y14" s="180"/>
      <c r="Z14" s="15"/>
    </row>
    <row r="15" spans="1:26" ht="15" customHeight="1" x14ac:dyDescent="0.25">
      <c r="A15" s="111">
        <v>5408</v>
      </c>
      <c r="B15" s="119" t="s">
        <v>111</v>
      </c>
      <c r="C15" s="400">
        <v>-899369.07614546851</v>
      </c>
      <c r="D15" s="400">
        <v>0</v>
      </c>
      <c r="E15" s="401">
        <v>51398.526218233892</v>
      </c>
      <c r="F15" s="397">
        <v>-847970.54992723465</v>
      </c>
      <c r="G15" s="400">
        <v>0</v>
      </c>
      <c r="H15" s="400">
        <v>0</v>
      </c>
      <c r="I15" s="400">
        <v>-62792</v>
      </c>
      <c r="J15" s="402">
        <v>-62792</v>
      </c>
      <c r="K15" s="400">
        <v>498475.10269583738</v>
      </c>
      <c r="L15" s="400">
        <v>137657.5907155239</v>
      </c>
      <c r="M15" s="15">
        <v>636132.69341136131</v>
      </c>
      <c r="N15" s="397">
        <v>-24900</v>
      </c>
      <c r="P15" s="713">
        <v>-299529.85651587334</v>
      </c>
      <c r="Q15" s="714"/>
      <c r="R15" s="714"/>
      <c r="S15" s="715"/>
      <c r="T15" s="397">
        <v>1145176.1859759449</v>
      </c>
      <c r="U15" s="398">
        <v>178930.05863551874</v>
      </c>
      <c r="V15" s="403">
        <v>1024576.3880955903</v>
      </c>
      <c r="W15" s="416">
        <v>36244.009750644858</v>
      </c>
      <c r="X15" s="180"/>
      <c r="Y15" s="180"/>
      <c r="Z15" s="15"/>
    </row>
    <row r="16" spans="1:26" x14ac:dyDescent="0.25">
      <c r="A16" s="111">
        <v>5409</v>
      </c>
      <c r="B16" s="119" t="s">
        <v>112</v>
      </c>
      <c r="C16" s="400">
        <v>1408005.3309020819</v>
      </c>
      <c r="D16" s="400">
        <v>0</v>
      </c>
      <c r="E16" s="401">
        <v>947326.16698963521</v>
      </c>
      <c r="F16" s="397">
        <v>2355331.4978917171</v>
      </c>
      <c r="G16" s="400">
        <v>0</v>
      </c>
      <c r="H16" s="400">
        <v>-1264526</v>
      </c>
      <c r="I16" s="400">
        <v>0</v>
      </c>
      <c r="J16" s="402">
        <v>-1264526</v>
      </c>
      <c r="K16" s="400">
        <v>527451.08103490807</v>
      </c>
      <c r="L16" s="400">
        <v>438754.88106120168</v>
      </c>
      <c r="M16" s="15">
        <v>966205.96209610975</v>
      </c>
      <c r="N16" s="397">
        <v>0</v>
      </c>
      <c r="P16" s="713">
        <v>2057011.4599878269</v>
      </c>
      <c r="Q16" s="714"/>
      <c r="R16" s="714"/>
      <c r="S16" s="715"/>
      <c r="T16" s="397">
        <v>7896863.2417680193</v>
      </c>
      <c r="U16" s="398">
        <v>249930.09096694679</v>
      </c>
      <c r="V16" s="403">
        <v>10203804.792722793</v>
      </c>
      <c r="W16" s="416">
        <v>249930.09096694679</v>
      </c>
      <c r="X16" s="180"/>
      <c r="Y16" s="180"/>
      <c r="Z16" s="15"/>
    </row>
    <row r="17" spans="1:26" x14ac:dyDescent="0.25">
      <c r="A17" s="111">
        <v>5410</v>
      </c>
      <c r="B17" s="119" t="s">
        <v>113</v>
      </c>
      <c r="C17" s="400">
        <v>-1153069.5708984474</v>
      </c>
      <c r="D17" s="400">
        <v>0</v>
      </c>
      <c r="E17" s="401">
        <v>5446.9998985434358</v>
      </c>
      <c r="F17" s="397">
        <v>-1147622.5709999041</v>
      </c>
      <c r="G17" s="400">
        <v>-502392</v>
      </c>
      <c r="H17" s="400">
        <v>-440807</v>
      </c>
      <c r="I17" s="400">
        <v>0</v>
      </c>
      <c r="J17" s="402">
        <v>-943199</v>
      </c>
      <c r="K17" s="400">
        <v>505291.27580317389</v>
      </c>
      <c r="L17" s="400">
        <v>141274.01894618597</v>
      </c>
      <c r="M17" s="15">
        <v>646565.29474935983</v>
      </c>
      <c r="N17" s="397">
        <v>0</v>
      </c>
      <c r="P17" s="713">
        <v>-1444256.2762505442</v>
      </c>
      <c r="Q17" s="714"/>
      <c r="R17" s="714"/>
      <c r="S17" s="715"/>
      <c r="T17" s="397">
        <v>1175261.3230651433</v>
      </c>
      <c r="U17" s="398">
        <v>184288.63853060271</v>
      </c>
      <c r="V17" s="403">
        <v>-84706.314654798218</v>
      </c>
      <c r="W17" s="416">
        <v>37196.182888161798</v>
      </c>
      <c r="X17" s="180"/>
      <c r="Y17" s="180"/>
      <c r="Z17" s="15"/>
    </row>
    <row r="18" spans="1:26" x14ac:dyDescent="0.25">
      <c r="A18" s="111">
        <v>5411</v>
      </c>
      <c r="B18" s="119" t="s">
        <v>114</v>
      </c>
      <c r="C18" s="400">
        <v>618174.26199471497</v>
      </c>
      <c r="D18" s="400">
        <v>0</v>
      </c>
      <c r="E18" s="401">
        <v>259835.47747747431</v>
      </c>
      <c r="F18" s="397">
        <v>878009.73947218922</v>
      </c>
      <c r="G18" s="400">
        <v>-340877</v>
      </c>
      <c r="H18" s="400">
        <v>-606142</v>
      </c>
      <c r="I18" s="400">
        <v>0</v>
      </c>
      <c r="J18" s="402">
        <v>-947019</v>
      </c>
      <c r="K18" s="400">
        <v>552784.61100267945</v>
      </c>
      <c r="L18" s="400">
        <v>166472.3575856378</v>
      </c>
      <c r="M18" s="15">
        <v>719256.96858831728</v>
      </c>
      <c r="N18" s="397">
        <v>0</v>
      </c>
      <c r="P18" s="713">
        <v>650247.7080605065</v>
      </c>
      <c r="Q18" s="714"/>
      <c r="R18" s="714"/>
      <c r="S18" s="715"/>
      <c r="T18" s="397">
        <v>1384886.7943963332</v>
      </c>
      <c r="U18" s="398">
        <v>221625.84038022009</v>
      </c>
      <c r="V18" s="403">
        <v>2256760.3428370599</v>
      </c>
      <c r="W18" s="416">
        <v>43830.67958827984</v>
      </c>
      <c r="X18" s="180"/>
      <c r="Y18" s="180"/>
      <c r="Z18" s="15"/>
    </row>
    <row r="19" spans="1:26" x14ac:dyDescent="0.25">
      <c r="A19" s="111">
        <v>5412</v>
      </c>
      <c r="B19" s="119" t="s">
        <v>115</v>
      </c>
      <c r="C19" s="400">
        <v>-864364.11748213705</v>
      </c>
      <c r="D19" s="400">
        <v>0</v>
      </c>
      <c r="E19" s="401">
        <v>203018.34904281443</v>
      </c>
      <c r="F19" s="397">
        <v>-661345.76843932259</v>
      </c>
      <c r="G19" s="400">
        <v>0</v>
      </c>
      <c r="H19" s="400">
        <v>0</v>
      </c>
      <c r="I19" s="400">
        <v>-18274</v>
      </c>
      <c r="J19" s="402">
        <v>-18274</v>
      </c>
      <c r="K19" s="400">
        <v>425856.71608078614</v>
      </c>
      <c r="L19" s="400">
        <v>108259.52896949675</v>
      </c>
      <c r="M19" s="15">
        <v>534116.24505028292</v>
      </c>
      <c r="N19" s="397">
        <v>0</v>
      </c>
      <c r="P19" s="713">
        <v>-145503.52338903968</v>
      </c>
      <c r="Q19" s="714"/>
      <c r="R19" s="714"/>
      <c r="S19" s="715"/>
      <c r="T19" s="397">
        <v>900613.13608955662</v>
      </c>
      <c r="U19" s="398">
        <v>137172.99165005729</v>
      </c>
      <c r="V19" s="403">
        <v>892282.6043505742</v>
      </c>
      <c r="W19" s="416">
        <v>28503.763600507144</v>
      </c>
      <c r="X19" s="180"/>
      <c r="Y19" s="180"/>
      <c r="Z19" s="15"/>
    </row>
    <row r="20" spans="1:26" ht="15" customHeight="1" x14ac:dyDescent="0.25">
      <c r="A20" s="111">
        <v>5413</v>
      </c>
      <c r="B20" s="119" t="s">
        <v>116</v>
      </c>
      <c r="C20" s="400">
        <v>-2922117.3414048771</v>
      </c>
      <c r="D20" s="400">
        <v>-86106</v>
      </c>
      <c r="E20" s="401">
        <v>-123046.23222432035</v>
      </c>
      <c r="F20" s="397">
        <v>-3131269.5736291977</v>
      </c>
      <c r="G20" s="400">
        <v>0</v>
      </c>
      <c r="H20" s="400">
        <v>0</v>
      </c>
      <c r="I20" s="400">
        <v>-188232</v>
      </c>
      <c r="J20" s="402">
        <v>-188232</v>
      </c>
      <c r="K20" s="400">
        <v>669539.06003479718</v>
      </c>
      <c r="L20" s="400">
        <v>228418.27340762355</v>
      </c>
      <c r="M20" s="15">
        <v>897957.3334424207</v>
      </c>
      <c r="N20" s="397">
        <v>0</v>
      </c>
      <c r="P20" s="713">
        <v>-2421544.240186777</v>
      </c>
      <c r="Q20" s="714"/>
      <c r="R20" s="714"/>
      <c r="S20" s="715"/>
      <c r="T20" s="397">
        <v>1900216.0780855084</v>
      </c>
      <c r="U20" s="398">
        <v>313413.12826052943</v>
      </c>
      <c r="V20" s="403">
        <v>-207915.03384073911</v>
      </c>
      <c r="W20" s="416">
        <v>60140.483976070027</v>
      </c>
      <c r="X20" s="180"/>
      <c r="Y20" s="180"/>
      <c r="Z20" s="15"/>
    </row>
    <row r="21" spans="1:26" ht="15" customHeight="1" x14ac:dyDescent="0.25">
      <c r="A21" s="111">
        <v>5414</v>
      </c>
      <c r="B21" s="119" t="s">
        <v>117</v>
      </c>
      <c r="C21" s="400">
        <v>-5660083.1151409298</v>
      </c>
      <c r="D21" s="400">
        <v>0</v>
      </c>
      <c r="E21" s="401">
        <v>53189.170859188773</v>
      </c>
      <c r="F21" s="397">
        <v>-5606893.944281741</v>
      </c>
      <c r="G21" s="400">
        <v>0</v>
      </c>
      <c r="H21" s="400">
        <v>0</v>
      </c>
      <c r="I21" s="400">
        <v>0</v>
      </c>
      <c r="J21" s="402">
        <v>0</v>
      </c>
      <c r="K21" s="400">
        <v>677751.77010176377</v>
      </c>
      <c r="L21" s="400">
        <v>274698.81268129509</v>
      </c>
      <c r="M21" s="15">
        <v>952450.58278305887</v>
      </c>
      <c r="N21" s="397">
        <v>-465800</v>
      </c>
      <c r="P21" s="713">
        <v>-5120243.3614986818</v>
      </c>
      <c r="Q21" s="714"/>
      <c r="R21" s="714"/>
      <c r="S21" s="715"/>
      <c r="T21" s="397">
        <v>5878247.5919121169</v>
      </c>
      <c r="U21" s="398">
        <v>1073466.4371985812</v>
      </c>
      <c r="V21" s="403">
        <v>1831470.6676120162</v>
      </c>
      <c r="W21" s="416">
        <v>186042.3449658101</v>
      </c>
      <c r="X21" s="180"/>
      <c r="Y21" s="180"/>
      <c r="Z21" s="15"/>
    </row>
    <row r="22" spans="1:26" x14ac:dyDescent="0.25">
      <c r="A22" s="111">
        <v>5415</v>
      </c>
      <c r="B22" s="119" t="s">
        <v>118</v>
      </c>
      <c r="C22" s="400">
        <v>-914637.78887078678</v>
      </c>
      <c r="D22" s="400">
        <v>0</v>
      </c>
      <c r="E22" s="401">
        <v>-55547.957974743098</v>
      </c>
      <c r="F22" s="397">
        <v>-970185.74684552988</v>
      </c>
      <c r="G22" s="400">
        <v>-32826</v>
      </c>
      <c r="H22" s="400">
        <v>0</v>
      </c>
      <c r="I22" s="400">
        <v>0</v>
      </c>
      <c r="J22" s="402">
        <v>-32826</v>
      </c>
      <c r="K22" s="400">
        <v>482643.9909626689</v>
      </c>
      <c r="L22" s="400">
        <v>-21807.455497626725</v>
      </c>
      <c r="M22" s="15">
        <v>460836.53546504217</v>
      </c>
      <c r="N22" s="397">
        <v>-121100</v>
      </c>
      <c r="P22" s="713">
        <v>-663275.21138048777</v>
      </c>
      <c r="Q22" s="714"/>
      <c r="R22" s="714"/>
      <c r="S22" s="715"/>
      <c r="T22" s="397">
        <v>1075301.0288655481</v>
      </c>
      <c r="U22" s="398">
        <v>166484.32468564628</v>
      </c>
      <c r="V22" s="403">
        <v>578510.14217070653</v>
      </c>
      <c r="W22" s="416">
        <v>34032.510850605511</v>
      </c>
      <c r="X22" s="180"/>
      <c r="Y22" s="180"/>
      <c r="Z22" s="15"/>
    </row>
    <row r="23" spans="1:26" x14ac:dyDescent="0.25">
      <c r="A23" s="111">
        <v>5422</v>
      </c>
      <c r="B23" s="119" t="s">
        <v>119</v>
      </c>
      <c r="C23" s="400">
        <v>8606257.2587357294</v>
      </c>
      <c r="D23" s="400">
        <v>0</v>
      </c>
      <c r="E23" s="401">
        <v>183987.57180867507</v>
      </c>
      <c r="F23" s="397">
        <v>8790244.8305444047</v>
      </c>
      <c r="G23" s="400">
        <v>0</v>
      </c>
      <c r="H23" s="400">
        <v>0</v>
      </c>
      <c r="I23" s="400">
        <v>0</v>
      </c>
      <c r="J23" s="402">
        <v>0</v>
      </c>
      <c r="K23" s="400">
        <v>837879.81191529892</v>
      </c>
      <c r="L23" s="400">
        <v>448087.12367654854</v>
      </c>
      <c r="M23" s="15">
        <v>1285966.9355918474</v>
      </c>
      <c r="N23" s="397">
        <v>0</v>
      </c>
      <c r="P23" s="713">
        <v>10076211.766136251</v>
      </c>
      <c r="Q23" s="714"/>
      <c r="R23" s="714"/>
      <c r="S23" s="715"/>
      <c r="T23" s="397">
        <v>3727645.5341810202</v>
      </c>
      <c r="U23" s="398">
        <v>649433.6741070305</v>
      </c>
      <c r="V23" s="403">
        <v>14453290.974424303</v>
      </c>
      <c r="W23" s="416">
        <v>117977.32326459906</v>
      </c>
      <c r="X23" s="180"/>
      <c r="Y23" s="180"/>
      <c r="Z23" s="15"/>
    </row>
    <row r="24" spans="1:26" ht="15" customHeight="1" x14ac:dyDescent="0.25">
      <c r="A24" s="111">
        <v>5423</v>
      </c>
      <c r="B24" s="119" t="s">
        <v>411</v>
      </c>
      <c r="C24" s="400">
        <v>-558283.97841484682</v>
      </c>
      <c r="D24" s="400">
        <v>0</v>
      </c>
      <c r="E24" s="401">
        <v>-29090.921456184122</v>
      </c>
      <c r="F24" s="397">
        <v>-587374.89987103094</v>
      </c>
      <c r="G24" s="400">
        <v>-40394</v>
      </c>
      <c r="H24" s="400">
        <v>0</v>
      </c>
      <c r="I24" s="400">
        <v>0</v>
      </c>
      <c r="J24" s="402">
        <v>-40394</v>
      </c>
      <c r="K24" s="400">
        <v>264324.85825703968</v>
      </c>
      <c r="L24" s="400">
        <v>67195.569705204878</v>
      </c>
      <c r="M24" s="15">
        <v>331520.42796224455</v>
      </c>
      <c r="N24" s="397">
        <v>0</v>
      </c>
      <c r="P24" s="713">
        <v>-296248.47190878639</v>
      </c>
      <c r="Q24" s="714"/>
      <c r="R24" s="714"/>
      <c r="S24" s="715"/>
      <c r="T24" s="397">
        <v>559001.25688317302</v>
      </c>
      <c r="U24" s="398">
        <v>85141.856886242458</v>
      </c>
      <c r="V24" s="403">
        <v>347894.64186062908</v>
      </c>
      <c r="W24" s="416">
        <v>17691.99120031478</v>
      </c>
      <c r="X24" s="180"/>
      <c r="Y24" s="180"/>
      <c r="Z24" s="15"/>
    </row>
    <row r="25" spans="1:26" x14ac:dyDescent="0.25">
      <c r="A25" s="111">
        <v>5424</v>
      </c>
      <c r="B25" s="119" t="s">
        <v>120</v>
      </c>
      <c r="C25" s="400">
        <v>-249493.27280470592</v>
      </c>
      <c r="D25" s="400">
        <v>0</v>
      </c>
      <c r="E25" s="401">
        <v>19570.577703680588</v>
      </c>
      <c r="F25" s="397">
        <v>-229922.69510102534</v>
      </c>
      <c r="G25" s="400">
        <v>-76973</v>
      </c>
      <c r="H25" s="400">
        <v>-45749</v>
      </c>
      <c r="I25" s="400">
        <v>-4092</v>
      </c>
      <c r="J25" s="402">
        <v>-126814</v>
      </c>
      <c r="K25" s="400">
        <v>139504.78630232648</v>
      </c>
      <c r="L25" s="400">
        <v>35464.328455524803</v>
      </c>
      <c r="M25" s="15">
        <v>174969.11475785129</v>
      </c>
      <c r="N25" s="397">
        <v>0</v>
      </c>
      <c r="P25" s="713">
        <v>-181767.58034317405</v>
      </c>
      <c r="Q25" s="714"/>
      <c r="R25" s="714"/>
      <c r="S25" s="715"/>
      <c r="T25" s="397">
        <v>295028.44113278575</v>
      </c>
      <c r="U25" s="398">
        <v>44935.980023294636</v>
      </c>
      <c r="V25" s="403">
        <v>158196.84081290633</v>
      </c>
      <c r="W25" s="416">
        <v>9337.4398001661339</v>
      </c>
      <c r="X25" s="180"/>
      <c r="Y25" s="180"/>
      <c r="Z25" s="15"/>
    </row>
    <row r="26" spans="1:26" x14ac:dyDescent="0.25">
      <c r="A26" s="111">
        <v>5425</v>
      </c>
      <c r="B26" s="119" t="s">
        <v>121</v>
      </c>
      <c r="C26" s="400">
        <v>-2089177.7388447118</v>
      </c>
      <c r="D26" s="400">
        <v>0</v>
      </c>
      <c r="E26" s="401">
        <v>-99382.529384146095</v>
      </c>
      <c r="F26" s="397">
        <v>-2188560.2682288578</v>
      </c>
      <c r="G26" s="400">
        <v>-115300</v>
      </c>
      <c r="H26" s="400">
        <v>-1290</v>
      </c>
      <c r="I26" s="400">
        <v>0</v>
      </c>
      <c r="J26" s="402">
        <v>-116590</v>
      </c>
      <c r="K26" s="400">
        <v>616548.81103905267</v>
      </c>
      <c r="L26" s="400">
        <v>200303.46038860554</v>
      </c>
      <c r="M26" s="15">
        <v>816852.27142765815</v>
      </c>
      <c r="N26" s="397">
        <v>-189800</v>
      </c>
      <c r="P26" s="713">
        <v>-1678097.9968011996</v>
      </c>
      <c r="Q26" s="714"/>
      <c r="R26" s="714"/>
      <c r="S26" s="715"/>
      <c r="T26" s="397">
        <v>1666328.3994243196</v>
      </c>
      <c r="U26" s="398">
        <v>271754.49101165083</v>
      </c>
      <c r="V26" s="403">
        <v>259984.89363477082</v>
      </c>
      <c r="W26" s="416">
        <v>52738.105713438323</v>
      </c>
      <c r="X26" s="180"/>
      <c r="Y26" s="180"/>
      <c r="Z26" s="15"/>
    </row>
    <row r="27" spans="1:26" x14ac:dyDescent="0.25">
      <c r="A27" s="111">
        <v>5426</v>
      </c>
      <c r="B27" s="119" t="s">
        <v>122</v>
      </c>
      <c r="C27" s="400">
        <v>2426935.5343819233</v>
      </c>
      <c r="D27" s="400">
        <v>0</v>
      </c>
      <c r="E27" s="401">
        <v>231291.04981672519</v>
      </c>
      <c r="F27" s="397">
        <v>2658226.5841986486</v>
      </c>
      <c r="G27" s="400">
        <v>0</v>
      </c>
      <c r="H27" s="400">
        <v>0</v>
      </c>
      <c r="I27" s="400">
        <v>0</v>
      </c>
      <c r="J27" s="402">
        <v>0</v>
      </c>
      <c r="K27" s="400">
        <v>234955.42956181301</v>
      </c>
      <c r="L27" s="400">
        <v>59729.395293515452</v>
      </c>
      <c r="M27" s="15">
        <v>294684.82485532848</v>
      </c>
      <c r="N27" s="397">
        <v>0</v>
      </c>
      <c r="P27" s="713">
        <v>2952911.4090539771</v>
      </c>
      <c r="Q27" s="714"/>
      <c r="R27" s="714"/>
      <c r="S27" s="715"/>
      <c r="T27" s="397">
        <v>496890.00611837604</v>
      </c>
      <c r="U27" s="398">
        <v>75681.650565548858</v>
      </c>
      <c r="V27" s="403">
        <v>3525483.0657379022</v>
      </c>
      <c r="W27" s="416">
        <v>15726.214400279803</v>
      </c>
      <c r="X27" s="180"/>
      <c r="Y27" s="180"/>
      <c r="Z27" s="15"/>
    </row>
    <row r="28" spans="1:26" ht="15" customHeight="1" x14ac:dyDescent="0.25">
      <c r="A28" s="111">
        <v>5427</v>
      </c>
      <c r="B28" s="119" t="s">
        <v>123</v>
      </c>
      <c r="C28" s="400">
        <v>2309336.0792748607</v>
      </c>
      <c r="D28" s="400">
        <v>0</v>
      </c>
      <c r="E28" s="401">
        <v>30629.002179269097</v>
      </c>
      <c r="F28" s="397">
        <v>2339965.0814541299</v>
      </c>
      <c r="G28" s="400">
        <v>0</v>
      </c>
      <c r="H28" s="400">
        <v>0</v>
      </c>
      <c r="I28" s="400">
        <v>0</v>
      </c>
      <c r="J28" s="402">
        <v>0</v>
      </c>
      <c r="K28" s="400">
        <v>411172.0017331728</v>
      </c>
      <c r="L28" s="400">
        <v>104526.44176365204</v>
      </c>
      <c r="M28" s="15">
        <v>515698.44349682482</v>
      </c>
      <c r="N28" s="397">
        <v>0</v>
      </c>
      <c r="P28" s="713">
        <v>2855663.5249509546</v>
      </c>
      <c r="Q28" s="714"/>
      <c r="R28" s="714"/>
      <c r="S28" s="715"/>
      <c r="T28" s="397">
        <v>869557.51070715813</v>
      </c>
      <c r="U28" s="398">
        <v>132442.88848971049</v>
      </c>
      <c r="V28" s="403">
        <v>3857663.9241478234</v>
      </c>
      <c r="W28" s="416">
        <v>27520.875200489656</v>
      </c>
      <c r="X28" s="180"/>
      <c r="Y28" s="180"/>
      <c r="Z28" s="15"/>
    </row>
    <row r="29" spans="1:26" x14ac:dyDescent="0.25">
      <c r="A29" s="111">
        <v>5428</v>
      </c>
      <c r="B29" s="119" t="s">
        <v>124</v>
      </c>
      <c r="C29" s="400">
        <v>-2553962.6761656664</v>
      </c>
      <c r="D29" s="400">
        <v>0</v>
      </c>
      <c r="E29" s="401">
        <v>-109786.31832377415</v>
      </c>
      <c r="F29" s="397">
        <v>-2663748.9944894407</v>
      </c>
      <c r="G29" s="400">
        <v>0</v>
      </c>
      <c r="H29" s="400">
        <v>-66505</v>
      </c>
      <c r="I29" s="400">
        <v>-97055</v>
      </c>
      <c r="J29" s="402">
        <v>-163560</v>
      </c>
      <c r="K29" s="400">
        <v>781016.47182252584</v>
      </c>
      <c r="L29" s="400">
        <v>287564.37382522575</v>
      </c>
      <c r="M29" s="15">
        <v>1068580.8456477516</v>
      </c>
      <c r="N29" s="397">
        <v>-82700</v>
      </c>
      <c r="P29" s="713">
        <v>-1841428.1488416891</v>
      </c>
      <c r="Q29" s="714"/>
      <c r="R29" s="714"/>
      <c r="S29" s="715"/>
      <c r="T29" s="397">
        <v>2392253.6427378845</v>
      </c>
      <c r="U29" s="398">
        <v>401051.83815754799</v>
      </c>
      <c r="V29" s="403">
        <v>951877.33205374342</v>
      </c>
      <c r="W29" s="416">
        <v>75713.122063847099</v>
      </c>
      <c r="X29" s="180"/>
      <c r="Y29" s="180"/>
      <c r="Z29" s="15"/>
    </row>
    <row r="30" spans="1:26" x14ac:dyDescent="0.25">
      <c r="A30" s="111">
        <v>5429</v>
      </c>
      <c r="B30" s="119" t="s">
        <v>125</v>
      </c>
      <c r="C30" s="400">
        <v>-406264.53706456569</v>
      </c>
      <c r="D30" s="400">
        <v>0</v>
      </c>
      <c r="E30" s="401">
        <v>-61322.718304135749</v>
      </c>
      <c r="F30" s="397">
        <v>-467587.25536870142</v>
      </c>
      <c r="G30" s="400">
        <v>-54148</v>
      </c>
      <c r="H30" s="400">
        <v>-47344</v>
      </c>
      <c r="I30" s="400">
        <v>0</v>
      </c>
      <c r="J30" s="402">
        <v>-101492</v>
      </c>
      <c r="K30" s="400">
        <v>254688.01446641845</v>
      </c>
      <c r="L30" s="400">
        <v>64745.731226369287</v>
      </c>
      <c r="M30" s="15">
        <v>319433.74569278775</v>
      </c>
      <c r="N30" s="397">
        <v>0</v>
      </c>
      <c r="P30" s="713">
        <v>-249645.50967591366</v>
      </c>
      <c r="Q30" s="714"/>
      <c r="R30" s="714"/>
      <c r="S30" s="715"/>
      <c r="T30" s="397">
        <v>538621.00272597407</v>
      </c>
      <c r="U30" s="398">
        <v>82037.726687264876</v>
      </c>
      <c r="V30" s="403">
        <v>371013.21973732527</v>
      </c>
      <c r="W30" s="416">
        <v>17046.970687803303</v>
      </c>
      <c r="X30" s="180"/>
      <c r="Y30" s="180"/>
      <c r="Z30" s="15"/>
    </row>
    <row r="31" spans="1:26" x14ac:dyDescent="0.25">
      <c r="A31" s="111">
        <v>5430</v>
      </c>
      <c r="B31" s="119" t="s">
        <v>126</v>
      </c>
      <c r="C31" s="400">
        <v>-452639.75971914676</v>
      </c>
      <c r="D31" s="400">
        <v>0</v>
      </c>
      <c r="E31" s="401">
        <v>-76691.632916217946</v>
      </c>
      <c r="F31" s="397">
        <v>-529331.39263536467</v>
      </c>
      <c r="G31" s="400">
        <v>-84409</v>
      </c>
      <c r="H31" s="400">
        <v>-46599</v>
      </c>
      <c r="I31" s="400">
        <v>0</v>
      </c>
      <c r="J31" s="402">
        <v>-131008</v>
      </c>
      <c r="K31" s="400">
        <v>233119.84026836135</v>
      </c>
      <c r="L31" s="400">
        <v>59262.759392784865</v>
      </c>
      <c r="M31" s="15">
        <v>292382.59966114623</v>
      </c>
      <c r="N31" s="397">
        <v>0</v>
      </c>
      <c r="P31" s="713">
        <v>-367956.79297421844</v>
      </c>
      <c r="Q31" s="714"/>
      <c r="R31" s="714"/>
      <c r="S31" s="715"/>
      <c r="T31" s="397">
        <v>493008.0529455762</v>
      </c>
      <c r="U31" s="398">
        <v>75090.387670505501</v>
      </c>
      <c r="V31" s="403">
        <v>200141.64764186327</v>
      </c>
      <c r="W31" s="416">
        <v>15603.353350277617</v>
      </c>
      <c r="X31" s="180"/>
      <c r="Y31" s="180"/>
      <c r="Z31" s="15"/>
    </row>
    <row r="32" spans="1:26" x14ac:dyDescent="0.25">
      <c r="A32" s="111">
        <v>5431</v>
      </c>
      <c r="B32" s="119" t="s">
        <v>127</v>
      </c>
      <c r="C32" s="400">
        <v>-336797.07382455585</v>
      </c>
      <c r="D32" s="400">
        <v>0</v>
      </c>
      <c r="E32" s="401">
        <v>-57138.594998075161</v>
      </c>
      <c r="F32" s="397">
        <v>-393935.66882263101</v>
      </c>
      <c r="G32" s="400">
        <v>-89920</v>
      </c>
      <c r="H32" s="400">
        <v>-34271</v>
      </c>
      <c r="I32" s="400">
        <v>0</v>
      </c>
      <c r="J32" s="402">
        <v>-124191</v>
      </c>
      <c r="K32" s="400">
        <v>147764.93812285899</v>
      </c>
      <c r="L32" s="400">
        <v>37564.190008812453</v>
      </c>
      <c r="M32" s="15">
        <v>185329.12813167146</v>
      </c>
      <c r="N32" s="397">
        <v>0</v>
      </c>
      <c r="P32" s="713">
        <v>-332797.54069095955</v>
      </c>
      <c r="Q32" s="714"/>
      <c r="R32" s="714"/>
      <c r="S32" s="715"/>
      <c r="T32" s="397">
        <v>312497.23041038495</v>
      </c>
      <c r="U32" s="398">
        <v>47596.663050989708</v>
      </c>
      <c r="V32" s="403">
        <v>27296.352770415106</v>
      </c>
      <c r="W32" s="416">
        <v>9890.3145251759706</v>
      </c>
      <c r="X32" s="180"/>
      <c r="Y32" s="180"/>
      <c r="Z32" s="15"/>
    </row>
    <row r="33" spans="1:26" x14ac:dyDescent="0.25">
      <c r="A33" s="111">
        <v>5434</v>
      </c>
      <c r="B33" s="119" t="s">
        <v>128</v>
      </c>
      <c r="C33" s="400">
        <v>-287661.81931952661</v>
      </c>
      <c r="D33" s="400">
        <v>0</v>
      </c>
      <c r="E33" s="401">
        <v>-61576.787586825289</v>
      </c>
      <c r="F33" s="397">
        <v>-349238.60690635187</v>
      </c>
      <c r="G33" s="400">
        <v>-42053</v>
      </c>
      <c r="H33" s="400">
        <v>-151259</v>
      </c>
      <c r="I33" s="400">
        <v>0</v>
      </c>
      <c r="J33" s="402">
        <v>-193312</v>
      </c>
      <c r="K33" s="400">
        <v>472309.79302573943</v>
      </c>
      <c r="L33" s="400">
        <v>123775.17266878886</v>
      </c>
      <c r="M33" s="15">
        <v>596084.96569452831</v>
      </c>
      <c r="N33" s="397">
        <v>0</v>
      </c>
      <c r="P33" s="713">
        <v>53534.35878817644</v>
      </c>
      <c r="Q33" s="714"/>
      <c r="R33" s="714"/>
      <c r="S33" s="715"/>
      <c r="T33" s="397">
        <v>1029688.0790851504</v>
      </c>
      <c r="U33" s="398">
        <v>158360.02613503509</v>
      </c>
      <c r="V33" s="403">
        <v>1241582.4640083618</v>
      </c>
      <c r="W33" s="416">
        <v>32588.893513079827</v>
      </c>
      <c r="X33" s="180"/>
      <c r="Y33" s="180"/>
      <c r="Z33" s="15"/>
    </row>
    <row r="34" spans="1:26" x14ac:dyDescent="0.25">
      <c r="A34" s="111">
        <v>5435</v>
      </c>
      <c r="B34" s="119" t="s">
        <v>129</v>
      </c>
      <c r="C34" s="400">
        <v>-405293.23558983963</v>
      </c>
      <c r="D34" s="400">
        <v>0</v>
      </c>
      <c r="E34" s="401">
        <v>56672.358715346607</v>
      </c>
      <c r="F34" s="397">
        <v>-348620.87687449303</v>
      </c>
      <c r="G34" s="400">
        <v>-27445</v>
      </c>
      <c r="H34" s="400">
        <v>0</v>
      </c>
      <c r="I34" s="400">
        <v>0</v>
      </c>
      <c r="J34" s="402">
        <v>-27445</v>
      </c>
      <c r="K34" s="400">
        <v>319851.43438395252</v>
      </c>
      <c r="L34" s="400">
        <v>81311.30570230521</v>
      </c>
      <c r="M34" s="15">
        <v>401162.74008625775</v>
      </c>
      <c r="N34" s="397">
        <v>0</v>
      </c>
      <c r="P34" s="713">
        <v>25096.863211764721</v>
      </c>
      <c r="Q34" s="714"/>
      <c r="R34" s="714"/>
      <c r="S34" s="715"/>
      <c r="T34" s="397">
        <v>676430.34036036744</v>
      </c>
      <c r="U34" s="398">
        <v>103027.55946130381</v>
      </c>
      <c r="V34" s="403">
        <v>804554.76303343591</v>
      </c>
      <c r="W34" s="416">
        <v>21408.537962880902</v>
      </c>
      <c r="X34" s="180"/>
      <c r="Y34" s="180"/>
      <c r="Z34" s="15"/>
    </row>
    <row r="35" spans="1:26" x14ac:dyDescent="0.25">
      <c r="A35" s="111">
        <v>5436</v>
      </c>
      <c r="B35" s="119" t="s">
        <v>130</v>
      </c>
      <c r="C35" s="400">
        <v>-314662.64457343909</v>
      </c>
      <c r="D35" s="400">
        <v>0</v>
      </c>
      <c r="E35" s="401">
        <v>-75549.117543893852</v>
      </c>
      <c r="F35" s="397">
        <v>-390211.76211733295</v>
      </c>
      <c r="G35" s="400">
        <v>0</v>
      </c>
      <c r="H35" s="400">
        <v>-16900</v>
      </c>
      <c r="I35" s="400">
        <v>0</v>
      </c>
      <c r="J35" s="402">
        <v>-16900</v>
      </c>
      <c r="K35" s="400">
        <v>206503.79551331222</v>
      </c>
      <c r="L35" s="400">
        <v>52496.538832191312</v>
      </c>
      <c r="M35" s="15">
        <v>259000.33434550354</v>
      </c>
      <c r="N35" s="397">
        <v>0</v>
      </c>
      <c r="P35" s="713">
        <v>-148111.42777182942</v>
      </c>
      <c r="Q35" s="714"/>
      <c r="R35" s="714"/>
      <c r="S35" s="715"/>
      <c r="T35" s="397">
        <v>436719.73193997896</v>
      </c>
      <c r="U35" s="398">
        <v>66517.075692376937</v>
      </c>
      <c r="V35" s="403">
        <v>355125.37986052647</v>
      </c>
      <c r="W35" s="416">
        <v>13821.868125245921</v>
      </c>
      <c r="X35" s="180"/>
      <c r="Y35" s="180"/>
      <c r="Z35" s="15"/>
    </row>
    <row r="36" spans="1:26" x14ac:dyDescent="0.25">
      <c r="A36" s="111">
        <v>5437</v>
      </c>
      <c r="B36" s="119" t="s">
        <v>131</v>
      </c>
      <c r="C36" s="400">
        <v>-442279.21759599954</v>
      </c>
      <c r="D36" s="400">
        <v>0</v>
      </c>
      <c r="E36" s="401">
        <v>-33996.135727129644</v>
      </c>
      <c r="F36" s="397">
        <v>-476275.35332312918</v>
      </c>
      <c r="G36" s="400">
        <v>-1472</v>
      </c>
      <c r="H36" s="400">
        <v>-692</v>
      </c>
      <c r="I36" s="400">
        <v>-52807</v>
      </c>
      <c r="J36" s="402">
        <v>-54971</v>
      </c>
      <c r="K36" s="400">
        <v>206044.89818994934</v>
      </c>
      <c r="L36" s="400">
        <v>52379.879857008666</v>
      </c>
      <c r="M36" s="15">
        <v>258424.778046958</v>
      </c>
      <c r="N36" s="397">
        <v>-29100</v>
      </c>
      <c r="P36" s="713">
        <v>-301921.57527617121</v>
      </c>
      <c r="Q36" s="714"/>
      <c r="R36" s="714"/>
      <c r="S36" s="715"/>
      <c r="T36" s="397">
        <v>435749.24364677898</v>
      </c>
      <c r="U36" s="398">
        <v>66369.259968616083</v>
      </c>
      <c r="V36" s="403">
        <v>200196.92833922384</v>
      </c>
      <c r="W36" s="416">
        <v>13791.152862745374</v>
      </c>
      <c r="X36" s="180"/>
      <c r="Y36" s="180"/>
      <c r="Z36" s="15"/>
    </row>
    <row r="37" spans="1:26" x14ac:dyDescent="0.25">
      <c r="A37" s="111">
        <v>5451</v>
      </c>
      <c r="B37" s="119" t="s">
        <v>132</v>
      </c>
      <c r="C37" s="400">
        <v>-5096997.0473637981</v>
      </c>
      <c r="D37" s="400">
        <v>0</v>
      </c>
      <c r="E37" s="401">
        <v>-348866.5180919884</v>
      </c>
      <c r="F37" s="397">
        <v>-5445863.5654557869</v>
      </c>
      <c r="G37" s="400">
        <v>0</v>
      </c>
      <c r="H37" s="400">
        <v>0</v>
      </c>
      <c r="I37" s="400">
        <v>-138434</v>
      </c>
      <c r="J37" s="402">
        <v>-138434</v>
      </c>
      <c r="K37" s="400">
        <v>763307.54695520457</v>
      </c>
      <c r="L37" s="400">
        <v>380641.02606504067</v>
      </c>
      <c r="M37" s="15">
        <v>1143948.5730202452</v>
      </c>
      <c r="N37" s="397">
        <v>-224200</v>
      </c>
      <c r="P37" s="713">
        <v>-4664548.9924355419</v>
      </c>
      <c r="Q37" s="714"/>
      <c r="R37" s="714"/>
      <c r="S37" s="715"/>
      <c r="T37" s="397">
        <v>4729189.4527633721</v>
      </c>
      <c r="U37" s="398">
        <v>840744.0405686961</v>
      </c>
      <c r="V37" s="403">
        <v>905384.50089652627</v>
      </c>
      <c r="W37" s="416">
        <v>149675.47416516306</v>
      </c>
      <c r="X37" s="180"/>
      <c r="Y37" s="180"/>
      <c r="Z37" s="15"/>
    </row>
    <row r="38" spans="1:26" x14ac:dyDescent="0.25">
      <c r="A38" s="111">
        <v>5456</v>
      </c>
      <c r="B38" s="119" t="s">
        <v>133</v>
      </c>
      <c r="C38" s="400">
        <v>-1164128.3190524066</v>
      </c>
      <c r="D38" s="400">
        <v>0</v>
      </c>
      <c r="E38" s="401">
        <v>-107261.27688318375</v>
      </c>
      <c r="F38" s="397">
        <v>-1271389.5959355903</v>
      </c>
      <c r="G38" s="400">
        <v>0</v>
      </c>
      <c r="H38" s="400">
        <v>0</v>
      </c>
      <c r="I38" s="400">
        <v>0</v>
      </c>
      <c r="J38" s="402">
        <v>0</v>
      </c>
      <c r="K38" s="400">
        <v>651948.9358868323</v>
      </c>
      <c r="L38" s="400">
        <v>219085.55539301175</v>
      </c>
      <c r="M38" s="15">
        <v>871034.49127984408</v>
      </c>
      <c r="N38" s="397">
        <v>0</v>
      </c>
      <c r="P38" s="713">
        <v>-400355.10465574625</v>
      </c>
      <c r="Q38" s="714"/>
      <c r="R38" s="714"/>
      <c r="S38" s="715"/>
      <c r="T38" s="397">
        <v>1822577.0146295121</v>
      </c>
      <c r="U38" s="398">
        <v>299584.53498289338</v>
      </c>
      <c r="V38" s="403">
        <v>1721806.4449566591</v>
      </c>
      <c r="W38" s="416">
        <v>57683.262976026308</v>
      </c>
      <c r="X38" s="180"/>
      <c r="Y38" s="180"/>
      <c r="Z38" s="15"/>
    </row>
    <row r="39" spans="1:26" x14ac:dyDescent="0.25">
      <c r="A39" s="111">
        <v>5458</v>
      </c>
      <c r="B39" s="119" t="s">
        <v>134</v>
      </c>
      <c r="C39" s="400">
        <v>-757021.56362011586</v>
      </c>
      <c r="D39" s="400">
        <v>0</v>
      </c>
      <c r="E39" s="401">
        <v>-97404.480988372976</v>
      </c>
      <c r="F39" s="397">
        <v>-854426.0446084888</v>
      </c>
      <c r="G39" s="400">
        <v>0</v>
      </c>
      <c r="H39" s="400">
        <v>0</v>
      </c>
      <c r="I39" s="400">
        <v>0</v>
      </c>
      <c r="J39" s="402">
        <v>0</v>
      </c>
      <c r="K39" s="400">
        <v>415760.97496680199</v>
      </c>
      <c r="L39" s="400">
        <v>105693.03151547852</v>
      </c>
      <c r="M39" s="15">
        <v>521454.0064822805</v>
      </c>
      <c r="N39" s="397">
        <v>0</v>
      </c>
      <c r="P39" s="713">
        <v>-332972.0381262083</v>
      </c>
      <c r="Q39" s="714"/>
      <c r="R39" s="714"/>
      <c r="S39" s="715"/>
      <c r="T39" s="397">
        <v>879262.39363915764</v>
      </c>
      <c r="U39" s="398">
        <v>133921.04572731888</v>
      </c>
      <c r="V39" s="403">
        <v>680211.40124026826</v>
      </c>
      <c r="W39" s="416">
        <v>27828.027825495119</v>
      </c>
      <c r="X39" s="180"/>
      <c r="Y39" s="180"/>
      <c r="Z39" s="15"/>
    </row>
    <row r="40" spans="1:26" x14ac:dyDescent="0.25">
      <c r="A40" s="111">
        <v>5464</v>
      </c>
      <c r="B40" s="119" t="s">
        <v>135</v>
      </c>
      <c r="C40" s="400">
        <v>-2566641.2261957615</v>
      </c>
      <c r="D40" s="400">
        <v>0</v>
      </c>
      <c r="E40" s="401">
        <v>-234404.71078584972</v>
      </c>
      <c r="F40" s="397">
        <v>-2801045.936981611</v>
      </c>
      <c r="G40" s="400">
        <v>0</v>
      </c>
      <c r="H40" s="400">
        <v>0</v>
      </c>
      <c r="I40" s="400">
        <v>0</v>
      </c>
      <c r="J40" s="402">
        <v>0</v>
      </c>
      <c r="K40" s="400">
        <v>854282.81980865286</v>
      </c>
      <c r="L40" s="400">
        <v>421605.5363100876</v>
      </c>
      <c r="M40" s="15">
        <v>1275888.3561187405</v>
      </c>
      <c r="N40" s="397">
        <v>0</v>
      </c>
      <c r="P40" s="713">
        <v>-1525157.5808628704</v>
      </c>
      <c r="Q40" s="714"/>
      <c r="R40" s="714"/>
      <c r="S40" s="715"/>
      <c r="T40" s="397">
        <v>3507344.6916246307</v>
      </c>
      <c r="U40" s="398">
        <v>607352.80861594714</v>
      </c>
      <c r="V40" s="403">
        <v>2589539.9193777074</v>
      </c>
      <c r="W40" s="416">
        <v>111004.95867697502</v>
      </c>
      <c r="X40" s="180"/>
      <c r="Y40" s="180"/>
      <c r="Z40" s="15"/>
    </row>
    <row r="41" spans="1:26" x14ac:dyDescent="0.25">
      <c r="A41" s="111">
        <v>5471</v>
      </c>
      <c r="B41" s="119" t="s">
        <v>136</v>
      </c>
      <c r="C41" s="400">
        <v>-407227.70755745145</v>
      </c>
      <c r="D41" s="400">
        <v>0</v>
      </c>
      <c r="E41" s="401">
        <v>-49490.759996150329</v>
      </c>
      <c r="F41" s="397">
        <v>-456718.46755360177</v>
      </c>
      <c r="G41" s="400">
        <v>0</v>
      </c>
      <c r="H41" s="400">
        <v>0</v>
      </c>
      <c r="I41" s="400">
        <v>-69481</v>
      </c>
      <c r="J41" s="402">
        <v>-69481</v>
      </c>
      <c r="K41" s="400">
        <v>295529.87624571798</v>
      </c>
      <c r="L41" s="400">
        <v>75128.380017624906</v>
      </c>
      <c r="M41" s="15">
        <v>370658.25626334292</v>
      </c>
      <c r="N41" s="397">
        <v>0</v>
      </c>
      <c r="P41" s="713">
        <v>-155541.21129025891</v>
      </c>
      <c r="Q41" s="714"/>
      <c r="R41" s="714"/>
      <c r="S41" s="715"/>
      <c r="T41" s="397">
        <v>624994.46082076989</v>
      </c>
      <c r="U41" s="398">
        <v>95193.326101979415</v>
      </c>
      <c r="V41" s="403">
        <v>564646.57563249045</v>
      </c>
      <c r="W41" s="416">
        <v>19780.629050351941</v>
      </c>
      <c r="X41" s="180"/>
      <c r="Y41" s="180"/>
      <c r="Z41" s="15"/>
    </row>
    <row r="42" spans="1:26" x14ac:dyDescent="0.25">
      <c r="A42" s="111">
        <v>5472</v>
      </c>
      <c r="B42" s="119" t="s">
        <v>137</v>
      </c>
      <c r="C42" s="400">
        <v>-276731.95858829725</v>
      </c>
      <c r="D42" s="400">
        <v>0</v>
      </c>
      <c r="E42" s="401">
        <v>-37209.462900624247</v>
      </c>
      <c r="F42" s="397">
        <v>-313941.42148892151</v>
      </c>
      <c r="G42" s="400">
        <v>0</v>
      </c>
      <c r="H42" s="400">
        <v>0</v>
      </c>
      <c r="I42" s="400">
        <v>0</v>
      </c>
      <c r="J42" s="402">
        <v>0</v>
      </c>
      <c r="K42" s="400">
        <v>238167.71082535342</v>
      </c>
      <c r="L42" s="400">
        <v>60546.008119793987</v>
      </c>
      <c r="M42" s="15">
        <v>298713.71894514741</v>
      </c>
      <c r="N42" s="397">
        <v>0</v>
      </c>
      <c r="P42" s="713">
        <v>-15227.702543774096</v>
      </c>
      <c r="Q42" s="714"/>
      <c r="R42" s="714"/>
      <c r="S42" s="715"/>
      <c r="T42" s="397">
        <v>503683.42417077569</v>
      </c>
      <c r="U42" s="398">
        <v>76716.360631874719</v>
      </c>
      <c r="V42" s="403">
        <v>565172.0822588763</v>
      </c>
      <c r="W42" s="416">
        <v>15941.221237783629</v>
      </c>
      <c r="X42" s="180"/>
      <c r="Y42" s="180"/>
      <c r="Z42" s="15"/>
    </row>
    <row r="43" spans="1:26" x14ac:dyDescent="0.25">
      <c r="A43" s="111">
        <v>5473</v>
      </c>
      <c r="B43" s="119" t="s">
        <v>138</v>
      </c>
      <c r="C43" s="400">
        <v>-606312.04581794026</v>
      </c>
      <c r="D43" s="400">
        <v>0</v>
      </c>
      <c r="E43" s="401">
        <v>-104026.00854978536</v>
      </c>
      <c r="F43" s="397">
        <v>-710338.05436772562</v>
      </c>
      <c r="G43" s="400">
        <v>0</v>
      </c>
      <c r="H43" s="400">
        <v>0</v>
      </c>
      <c r="I43" s="400">
        <v>-143220</v>
      </c>
      <c r="J43" s="402">
        <v>-143220</v>
      </c>
      <c r="K43" s="400">
        <v>463954.48405545607</v>
      </c>
      <c r="L43" s="400">
        <v>119342.13161184825</v>
      </c>
      <c r="M43" s="15">
        <v>583296.61566730426</v>
      </c>
      <c r="N43" s="397">
        <v>0</v>
      </c>
      <c r="P43" s="713">
        <v>-270261.43870042136</v>
      </c>
      <c r="Q43" s="714"/>
      <c r="R43" s="714"/>
      <c r="S43" s="715"/>
      <c r="T43" s="397">
        <v>992809.52394355217</v>
      </c>
      <c r="U43" s="398">
        <v>151791.44432815799</v>
      </c>
      <c r="V43" s="403">
        <v>874339.52957128873</v>
      </c>
      <c r="W43" s="416">
        <v>31421.713538059059</v>
      </c>
      <c r="X43" s="180"/>
      <c r="Y43" s="180"/>
      <c r="Z43" s="15"/>
    </row>
    <row r="44" spans="1:26" x14ac:dyDescent="0.25">
      <c r="A44" s="111">
        <v>5474</v>
      </c>
      <c r="B44" s="119" t="s">
        <v>139</v>
      </c>
      <c r="C44" s="400">
        <v>-332631.65720834321</v>
      </c>
      <c r="D44" s="400">
        <v>0</v>
      </c>
      <c r="E44" s="401">
        <v>-32765.746658902317</v>
      </c>
      <c r="F44" s="397">
        <v>-365397.40386724554</v>
      </c>
      <c r="G44" s="400">
        <v>-35524</v>
      </c>
      <c r="H44" s="400">
        <v>0</v>
      </c>
      <c r="I44" s="400">
        <v>-50634</v>
      </c>
      <c r="J44" s="402">
        <v>-86158</v>
      </c>
      <c r="K44" s="400">
        <v>198702.54101614264</v>
      </c>
      <c r="L44" s="400">
        <v>50513.336254086309</v>
      </c>
      <c r="M44" s="15">
        <v>249215.87727022896</v>
      </c>
      <c r="N44" s="397">
        <v>-40700</v>
      </c>
      <c r="P44" s="713">
        <v>-243039.52659701658</v>
      </c>
      <c r="Q44" s="714"/>
      <c r="R44" s="714"/>
      <c r="S44" s="715"/>
      <c r="T44" s="397">
        <v>420221.43095557974</v>
      </c>
      <c r="U44" s="398">
        <v>64004.208388442683</v>
      </c>
      <c r="V44" s="403">
        <v>241186.11274700583</v>
      </c>
      <c r="W44" s="416">
        <v>13299.70866273663</v>
      </c>
      <c r="X44" s="180"/>
      <c r="Y44" s="180"/>
      <c r="Z44" s="15"/>
    </row>
    <row r="45" spans="1:26" x14ac:dyDescent="0.25">
      <c r="A45" s="111">
        <v>5475</v>
      </c>
      <c r="B45" s="119" t="s">
        <v>140</v>
      </c>
      <c r="C45" s="400">
        <v>-166039.79216387501</v>
      </c>
      <c r="D45" s="400">
        <v>0</v>
      </c>
      <c r="E45" s="401">
        <v>-8790.8270487449518</v>
      </c>
      <c r="F45" s="397">
        <v>-174830.61921261996</v>
      </c>
      <c r="G45" s="400">
        <v>-14881</v>
      </c>
      <c r="H45" s="400">
        <v>0</v>
      </c>
      <c r="I45" s="400">
        <v>-30109</v>
      </c>
      <c r="J45" s="402">
        <v>-44990</v>
      </c>
      <c r="K45" s="400">
        <v>72505.777091340744</v>
      </c>
      <c r="L45" s="400">
        <v>18432.118078858282</v>
      </c>
      <c r="M45" s="15">
        <v>90937.89517019903</v>
      </c>
      <c r="N45" s="397">
        <v>-18100</v>
      </c>
      <c r="P45" s="713">
        <v>-146982.72404242092</v>
      </c>
      <c r="Q45" s="714"/>
      <c r="R45" s="714"/>
      <c r="S45" s="715"/>
      <c r="T45" s="397">
        <v>153337.15032559261</v>
      </c>
      <c r="U45" s="398">
        <v>23354.884354212343</v>
      </c>
      <c r="V45" s="403">
        <v>29709.310637384035</v>
      </c>
      <c r="W45" s="416">
        <v>4853.0114750863459</v>
      </c>
      <c r="X45" s="180"/>
      <c r="Y45" s="180"/>
      <c r="Z45" s="15"/>
    </row>
    <row r="46" spans="1:26" x14ac:dyDescent="0.25">
      <c r="A46" s="111">
        <v>5476</v>
      </c>
      <c r="B46" s="119" t="s">
        <v>141</v>
      </c>
      <c r="C46" s="400">
        <v>-159531.57782578905</v>
      </c>
      <c r="D46" s="400">
        <v>0</v>
      </c>
      <c r="E46" s="401">
        <v>-25050.347249538288</v>
      </c>
      <c r="F46" s="397">
        <v>-184581.92507532734</v>
      </c>
      <c r="G46" s="400">
        <v>-12396</v>
      </c>
      <c r="H46" s="400">
        <v>0</v>
      </c>
      <c r="I46" s="400">
        <v>-18479</v>
      </c>
      <c r="J46" s="402">
        <v>-30875</v>
      </c>
      <c r="K46" s="400">
        <v>154648.39797330272</v>
      </c>
      <c r="L46" s="400">
        <v>39314.074636552163</v>
      </c>
      <c r="M46" s="15">
        <v>193962.47260985489</v>
      </c>
      <c r="N46" s="397">
        <v>0</v>
      </c>
      <c r="P46" s="713">
        <v>-21494.452465472452</v>
      </c>
      <c r="Q46" s="714"/>
      <c r="R46" s="714"/>
      <c r="S46" s="715"/>
      <c r="T46" s="397">
        <v>327054.55480838421</v>
      </c>
      <c r="U46" s="398">
        <v>49813.898907402268</v>
      </c>
      <c r="V46" s="403">
        <v>355374.00125031406</v>
      </c>
      <c r="W46" s="416">
        <v>10351.043462684167</v>
      </c>
      <c r="X46" s="180"/>
      <c r="Y46" s="180"/>
      <c r="Z46" s="15"/>
    </row>
    <row r="47" spans="1:26" x14ac:dyDescent="0.25">
      <c r="A47" s="111">
        <v>5477</v>
      </c>
      <c r="B47" s="119" t="s">
        <v>142</v>
      </c>
      <c r="C47" s="400">
        <v>-4072637.0691811475</v>
      </c>
      <c r="D47" s="400">
        <v>0</v>
      </c>
      <c r="E47" s="401">
        <v>-80553.199598803185</v>
      </c>
      <c r="F47" s="397">
        <v>-4153190.2687799507</v>
      </c>
      <c r="G47" s="400">
        <v>0</v>
      </c>
      <c r="H47" s="400">
        <v>0</v>
      </c>
      <c r="I47" s="400">
        <v>0</v>
      </c>
      <c r="J47" s="402">
        <v>0</v>
      </c>
      <c r="K47" s="400">
        <v>770605.80156854726</v>
      </c>
      <c r="L47" s="400">
        <v>556696.62957159325</v>
      </c>
      <c r="M47" s="15">
        <v>1327302.4311401406</v>
      </c>
      <c r="N47" s="397">
        <v>-194400</v>
      </c>
      <c r="P47" s="713">
        <v>-3020287.8376398101</v>
      </c>
      <c r="Q47" s="714"/>
      <c r="R47" s="714"/>
      <c r="S47" s="715"/>
      <c r="T47" s="397">
        <v>4631170.1351501765</v>
      </c>
      <c r="U47" s="398">
        <v>822020.83609909506</v>
      </c>
      <c r="V47" s="403">
        <v>2432903.1336094616</v>
      </c>
      <c r="W47" s="416">
        <v>146573.23265260784</v>
      </c>
      <c r="X47" s="180"/>
      <c r="Y47" s="180"/>
      <c r="Z47" s="15"/>
    </row>
    <row r="48" spans="1:26" x14ac:dyDescent="0.25">
      <c r="A48" s="111">
        <v>5479</v>
      </c>
      <c r="B48" s="119" t="s">
        <v>143</v>
      </c>
      <c r="C48" s="400">
        <v>-395271.4745757936</v>
      </c>
      <c r="D48" s="400">
        <v>0</v>
      </c>
      <c r="E48" s="401">
        <v>-61246.472869436839</v>
      </c>
      <c r="F48" s="397">
        <v>-456517.94744523044</v>
      </c>
      <c r="G48" s="400">
        <v>-29713</v>
      </c>
      <c r="H48" s="400">
        <v>0</v>
      </c>
      <c r="I48" s="400">
        <v>0</v>
      </c>
      <c r="J48" s="402">
        <v>-29713</v>
      </c>
      <c r="K48" s="400">
        <v>248263.4519393376</v>
      </c>
      <c r="L48" s="400">
        <v>63112.505573812225</v>
      </c>
      <c r="M48" s="15">
        <v>311375.95751314983</v>
      </c>
      <c r="N48" s="397">
        <v>-183700</v>
      </c>
      <c r="P48" s="713">
        <v>-358554.98993208061</v>
      </c>
      <c r="Q48" s="714"/>
      <c r="R48" s="714"/>
      <c r="S48" s="715"/>
      <c r="T48" s="397">
        <v>525034.16662117466</v>
      </c>
      <c r="U48" s="398">
        <v>79968.30655461314</v>
      </c>
      <c r="V48" s="403">
        <v>246447.48324370719</v>
      </c>
      <c r="W48" s="416">
        <v>16616.95701279565</v>
      </c>
      <c r="X48" s="180"/>
      <c r="Y48" s="180"/>
      <c r="Z48" s="15"/>
    </row>
    <row r="49" spans="1:26" x14ac:dyDescent="0.25">
      <c r="A49" s="111">
        <v>5480</v>
      </c>
      <c r="B49" s="119" t="s">
        <v>144</v>
      </c>
      <c r="C49" s="400">
        <v>-271560.20742193406</v>
      </c>
      <c r="D49" s="400">
        <v>0</v>
      </c>
      <c r="E49" s="401">
        <v>9213.5305964105064</v>
      </c>
      <c r="F49" s="397">
        <v>-262346.67682552355</v>
      </c>
      <c r="G49" s="400">
        <v>0</v>
      </c>
      <c r="H49" s="400">
        <v>0</v>
      </c>
      <c r="I49" s="400">
        <v>-147319</v>
      </c>
      <c r="J49" s="402">
        <v>-147319</v>
      </c>
      <c r="K49" s="400">
        <v>472529.66957758897</v>
      </c>
      <c r="L49" s="400">
        <v>123891.8316439715</v>
      </c>
      <c r="M49" s="15">
        <v>596421.50122156041</v>
      </c>
      <c r="N49" s="397">
        <v>0</v>
      </c>
      <c r="P49" s="713">
        <v>186755.82439603686</v>
      </c>
      <c r="Q49" s="714"/>
      <c r="R49" s="714"/>
      <c r="S49" s="715"/>
      <c r="T49" s="397">
        <v>1030658.5673783503</v>
      </c>
      <c r="U49" s="398">
        <v>158532.88355100557</v>
      </c>
      <c r="V49" s="403">
        <v>1375947.2753253926</v>
      </c>
      <c r="W49" s="416">
        <v>32619.608775580375</v>
      </c>
      <c r="X49" s="180"/>
      <c r="Y49" s="180"/>
      <c r="Z49" s="15"/>
    </row>
    <row r="50" spans="1:26" x14ac:dyDescent="0.25">
      <c r="A50" s="111">
        <v>5481</v>
      </c>
      <c r="B50" s="119" t="s">
        <v>145</v>
      </c>
      <c r="C50" s="400">
        <v>-136508.70443035322</v>
      </c>
      <c r="D50" s="400">
        <v>0</v>
      </c>
      <c r="E50" s="401">
        <v>-7734.8905731174309</v>
      </c>
      <c r="F50" s="397">
        <v>-144243.59500347066</v>
      </c>
      <c r="G50" s="400">
        <v>-12548</v>
      </c>
      <c r="H50" s="400">
        <v>0</v>
      </c>
      <c r="I50" s="400">
        <v>-28379</v>
      </c>
      <c r="J50" s="402">
        <v>-40927</v>
      </c>
      <c r="K50" s="400">
        <v>108758.6656370111</v>
      </c>
      <c r="L50" s="400">
        <v>27648.177118287425</v>
      </c>
      <c r="M50" s="15">
        <v>136406.84275529854</v>
      </c>
      <c r="N50" s="397">
        <v>0</v>
      </c>
      <c r="P50" s="713">
        <v>-48763.752248172124</v>
      </c>
      <c r="Q50" s="714"/>
      <c r="R50" s="714"/>
      <c r="S50" s="715"/>
      <c r="T50" s="397">
        <v>230005.72548838891</v>
      </c>
      <c r="U50" s="398">
        <v>35032.326531318511</v>
      </c>
      <c r="V50" s="403">
        <v>216274.2997715353</v>
      </c>
      <c r="W50" s="416">
        <v>7279.5172126295183</v>
      </c>
      <c r="X50" s="180"/>
      <c r="Y50" s="180"/>
      <c r="Z50" s="15"/>
    </row>
    <row r="51" spans="1:26" x14ac:dyDescent="0.25">
      <c r="A51" s="111">
        <v>5482</v>
      </c>
      <c r="B51" s="119" t="s">
        <v>146</v>
      </c>
      <c r="C51" s="400">
        <v>-194754.30668679907</v>
      </c>
      <c r="D51" s="400">
        <v>0</v>
      </c>
      <c r="E51" s="401">
        <v>27521.977584705455</v>
      </c>
      <c r="F51" s="397">
        <v>-167232.32910209362</v>
      </c>
      <c r="G51" s="400">
        <v>0</v>
      </c>
      <c r="H51" s="400">
        <v>0</v>
      </c>
      <c r="I51" s="400">
        <v>0</v>
      </c>
      <c r="J51" s="402">
        <v>0</v>
      </c>
      <c r="K51" s="400">
        <v>498914.85579953651</v>
      </c>
      <c r="L51" s="400">
        <v>137890.90866588918</v>
      </c>
      <c r="M51" s="15">
        <v>636805.76446542563</v>
      </c>
      <c r="N51" s="397">
        <v>0</v>
      </c>
      <c r="P51" s="713">
        <v>469573.43536333204</v>
      </c>
      <c r="Q51" s="714"/>
      <c r="R51" s="714"/>
      <c r="S51" s="715"/>
      <c r="T51" s="397">
        <v>1147117.1625623447</v>
      </c>
      <c r="U51" s="398">
        <v>179275.77346745966</v>
      </c>
      <c r="V51" s="403">
        <v>1795966.3713931364</v>
      </c>
      <c r="W51" s="416">
        <v>36305.440275645953</v>
      </c>
      <c r="X51" s="180"/>
      <c r="Y51" s="180"/>
      <c r="Z51" s="15"/>
    </row>
    <row r="52" spans="1:26" x14ac:dyDescent="0.25">
      <c r="A52" s="111">
        <v>5483</v>
      </c>
      <c r="B52" s="119" t="s">
        <v>147</v>
      </c>
      <c r="C52" s="400">
        <v>-190405.94527076953</v>
      </c>
      <c r="D52" s="400">
        <v>0</v>
      </c>
      <c r="E52" s="401">
        <v>-56262.624547782529</v>
      </c>
      <c r="F52" s="397">
        <v>-246668.56981855206</v>
      </c>
      <c r="G52" s="400">
        <v>-6885</v>
      </c>
      <c r="H52" s="400">
        <v>0</v>
      </c>
      <c r="I52" s="400">
        <v>-30004</v>
      </c>
      <c r="J52" s="402">
        <v>-36889</v>
      </c>
      <c r="K52" s="400">
        <v>146388.24615277024</v>
      </c>
      <c r="L52" s="400">
        <v>37214.213083264513</v>
      </c>
      <c r="M52" s="15">
        <v>183602.45923603475</v>
      </c>
      <c r="N52" s="397">
        <v>0</v>
      </c>
      <c r="P52" s="713">
        <v>-99955.110582517314</v>
      </c>
      <c r="Q52" s="714"/>
      <c r="R52" s="714"/>
      <c r="S52" s="715"/>
      <c r="T52" s="397">
        <v>309585.76553078508</v>
      </c>
      <c r="U52" s="398">
        <v>47153.21587970719</v>
      </c>
      <c r="V52" s="403">
        <v>256783.87082797496</v>
      </c>
      <c r="W52" s="416">
        <v>9798.1687376743303</v>
      </c>
      <c r="X52" s="180"/>
      <c r="Y52" s="180"/>
      <c r="Z52" s="15"/>
    </row>
    <row r="53" spans="1:26" x14ac:dyDescent="0.25">
      <c r="A53" s="111">
        <v>5484</v>
      </c>
      <c r="B53" s="119" t="s">
        <v>148</v>
      </c>
      <c r="C53" s="400">
        <v>-905807.35935882875</v>
      </c>
      <c r="D53" s="400">
        <v>0</v>
      </c>
      <c r="E53" s="401">
        <v>-93867.633037117921</v>
      </c>
      <c r="F53" s="397">
        <v>-999674.99239594664</v>
      </c>
      <c r="G53" s="400">
        <v>0</v>
      </c>
      <c r="H53" s="400">
        <v>0</v>
      </c>
      <c r="I53" s="400">
        <v>-39500</v>
      </c>
      <c r="J53" s="402">
        <v>-39500</v>
      </c>
      <c r="K53" s="400">
        <v>472969.4226812881</v>
      </c>
      <c r="L53" s="400">
        <v>124125.14959433679</v>
      </c>
      <c r="M53" s="15">
        <v>597094.57227562484</v>
      </c>
      <c r="N53" s="397">
        <v>-136100</v>
      </c>
      <c r="P53" s="713">
        <v>-578180.4201203218</v>
      </c>
      <c r="Q53" s="714"/>
      <c r="R53" s="714"/>
      <c r="S53" s="715"/>
      <c r="T53" s="397">
        <v>1032599.5439647502</v>
      </c>
      <c r="U53" s="398">
        <v>158878.59838294645</v>
      </c>
      <c r="V53" s="403">
        <v>613297.72222737491</v>
      </c>
      <c r="W53" s="416">
        <v>32681.039300581466</v>
      </c>
      <c r="X53" s="180"/>
      <c r="Y53" s="180"/>
      <c r="Z53" s="15"/>
    </row>
    <row r="54" spans="1:26" x14ac:dyDescent="0.25">
      <c r="A54" s="111">
        <v>5485</v>
      </c>
      <c r="B54" s="119" t="s">
        <v>149</v>
      </c>
      <c r="C54" s="400">
        <v>149260.16237440254</v>
      </c>
      <c r="D54" s="400">
        <v>0</v>
      </c>
      <c r="E54" s="401">
        <v>-79333.608770022096</v>
      </c>
      <c r="F54" s="397">
        <v>69926.553604380446</v>
      </c>
      <c r="G54" s="400">
        <v>-14234</v>
      </c>
      <c r="H54" s="400">
        <v>0</v>
      </c>
      <c r="I54" s="400">
        <v>-35358</v>
      </c>
      <c r="J54" s="402">
        <v>-49592</v>
      </c>
      <c r="K54" s="400">
        <v>251016.8358795151</v>
      </c>
      <c r="L54" s="400">
        <v>63812.459424908113</v>
      </c>
      <c r="M54" s="15">
        <v>314829.2953044232</v>
      </c>
      <c r="N54" s="397">
        <v>0</v>
      </c>
      <c r="P54" s="713">
        <v>335163.84890880366</v>
      </c>
      <c r="Q54" s="714"/>
      <c r="R54" s="714"/>
      <c r="S54" s="715"/>
      <c r="T54" s="397">
        <v>530857.09638037439</v>
      </c>
      <c r="U54" s="398">
        <v>80855.200897178176</v>
      </c>
      <c r="V54" s="403">
        <v>946876.1461863562</v>
      </c>
      <c r="W54" s="416">
        <v>16801.248587798931</v>
      </c>
      <c r="X54" s="180"/>
      <c r="Y54" s="180"/>
      <c r="Z54" s="15"/>
    </row>
    <row r="55" spans="1:26" x14ac:dyDescent="0.25">
      <c r="A55" s="111">
        <v>5486</v>
      </c>
      <c r="B55" s="119" t="s">
        <v>150</v>
      </c>
      <c r="C55" s="400">
        <v>-1011304.4130581403</v>
      </c>
      <c r="D55" s="400">
        <v>0</v>
      </c>
      <c r="E55" s="401">
        <v>-111527.54163945891</v>
      </c>
      <c r="F55" s="397">
        <v>-1122831.9546975992</v>
      </c>
      <c r="G55" s="400">
        <v>-81340</v>
      </c>
      <c r="H55" s="400">
        <v>-8411</v>
      </c>
      <c r="I55" s="400">
        <v>0</v>
      </c>
      <c r="J55" s="402">
        <v>-89751</v>
      </c>
      <c r="K55" s="400">
        <v>478246.45992567763</v>
      </c>
      <c r="L55" s="400">
        <v>126924.96499872033</v>
      </c>
      <c r="M55" s="15">
        <v>605171.42492439796</v>
      </c>
      <c r="N55" s="397">
        <v>-184600</v>
      </c>
      <c r="P55" s="713">
        <v>-792011.52977320121</v>
      </c>
      <c r="Q55" s="714"/>
      <c r="R55" s="714"/>
      <c r="S55" s="715"/>
      <c r="T55" s="397">
        <v>1055891.2630015491</v>
      </c>
      <c r="U55" s="398">
        <v>163027.17636623728</v>
      </c>
      <c r="V55" s="403">
        <v>426906.90959458513</v>
      </c>
      <c r="W55" s="416">
        <v>33418.205600594585</v>
      </c>
      <c r="X55" s="180"/>
      <c r="Y55" s="180"/>
      <c r="Z55" s="15"/>
    </row>
    <row r="56" spans="1:26" x14ac:dyDescent="0.25">
      <c r="A56" s="111">
        <v>5487</v>
      </c>
      <c r="B56" s="119" t="s">
        <v>151</v>
      </c>
      <c r="C56" s="400">
        <v>-430614.64956596453</v>
      </c>
      <c r="D56" s="400">
        <v>0</v>
      </c>
      <c r="E56" s="401">
        <v>-47069.174329470654</v>
      </c>
      <c r="F56" s="397">
        <v>-477683.8238954352</v>
      </c>
      <c r="G56" s="400">
        <v>0</v>
      </c>
      <c r="H56" s="400">
        <v>0</v>
      </c>
      <c r="I56" s="400">
        <v>0</v>
      </c>
      <c r="J56" s="402">
        <v>0</v>
      </c>
      <c r="K56" s="400">
        <v>217058.4339506593</v>
      </c>
      <c r="L56" s="400">
        <v>55179.695261392204</v>
      </c>
      <c r="M56" s="15">
        <v>272238.12921205151</v>
      </c>
      <c r="N56" s="397">
        <v>0</v>
      </c>
      <c r="P56" s="713">
        <v>-205445.69468338368</v>
      </c>
      <c r="Q56" s="714"/>
      <c r="R56" s="714"/>
      <c r="S56" s="715"/>
      <c r="T56" s="397">
        <v>459040.96268357785</v>
      </c>
      <c r="U56" s="398">
        <v>69916.837338876183</v>
      </c>
      <c r="V56" s="403">
        <v>323512.10533907032</v>
      </c>
      <c r="W56" s="416">
        <v>14528.319162758489</v>
      </c>
      <c r="X56" s="180"/>
      <c r="Y56" s="180"/>
      <c r="Z56" s="15"/>
    </row>
    <row r="57" spans="1:26" x14ac:dyDescent="0.25">
      <c r="A57" s="111">
        <v>5488</v>
      </c>
      <c r="B57" s="119" t="s">
        <v>152</v>
      </c>
      <c r="C57" s="400">
        <v>-67720.348344679718</v>
      </c>
      <c r="D57" s="400">
        <v>0</v>
      </c>
      <c r="E57" s="401">
        <v>-8252.2362729093475</v>
      </c>
      <c r="F57" s="397">
        <v>-75972.584617589062</v>
      </c>
      <c r="G57" s="400">
        <v>0</v>
      </c>
      <c r="H57" s="400">
        <v>0</v>
      </c>
      <c r="I57" s="400">
        <v>0</v>
      </c>
      <c r="J57" s="402">
        <v>0</v>
      </c>
      <c r="K57" s="400">
        <v>29369.428695226627</v>
      </c>
      <c r="L57" s="400">
        <v>7466.1744116894315</v>
      </c>
      <c r="M57" s="15">
        <v>36835.60310691606</v>
      </c>
      <c r="N57" s="397">
        <v>0</v>
      </c>
      <c r="P57" s="713">
        <v>-39136.981510673002</v>
      </c>
      <c r="Q57" s="714"/>
      <c r="R57" s="714"/>
      <c r="S57" s="715"/>
      <c r="T57" s="397">
        <v>62111.250764797005</v>
      </c>
      <c r="U57" s="398">
        <v>9460.2063206936073</v>
      </c>
      <c r="V57" s="403">
        <v>32434.47557481761</v>
      </c>
      <c r="W57" s="416">
        <v>1965.7768000349754</v>
      </c>
      <c r="X57" s="180"/>
      <c r="Y57" s="180"/>
      <c r="Z57" s="15"/>
    </row>
    <row r="58" spans="1:26" x14ac:dyDescent="0.25">
      <c r="A58" s="111">
        <v>5489</v>
      </c>
      <c r="B58" s="119" t="s">
        <v>153</v>
      </c>
      <c r="C58" s="400">
        <v>1150282.3169224828</v>
      </c>
      <c r="D58" s="400">
        <v>0</v>
      </c>
      <c r="E58" s="401">
        <v>110222.50052040583</v>
      </c>
      <c r="F58" s="397">
        <v>1260504.8174428886</v>
      </c>
      <c r="G58" s="400">
        <v>0</v>
      </c>
      <c r="H58" s="400">
        <v>0</v>
      </c>
      <c r="I58" s="400">
        <v>0</v>
      </c>
      <c r="J58" s="402">
        <v>0</v>
      </c>
      <c r="K58" s="400">
        <v>374460.21586413949</v>
      </c>
      <c r="L58" s="400">
        <v>95193.723749040248</v>
      </c>
      <c r="M58" s="15">
        <v>469653.93961317977</v>
      </c>
      <c r="N58" s="397">
        <v>0</v>
      </c>
      <c r="P58" s="713">
        <v>1730158.7570560684</v>
      </c>
      <c r="Q58" s="714"/>
      <c r="R58" s="714"/>
      <c r="S58" s="715"/>
      <c r="T58" s="397">
        <v>791918.44725116179</v>
      </c>
      <c r="U58" s="398">
        <v>120617.63058884349</v>
      </c>
      <c r="V58" s="403">
        <v>2642694.8348960737</v>
      </c>
      <c r="W58" s="416">
        <v>25063.654200445937</v>
      </c>
      <c r="X58" s="180"/>
      <c r="Y58" s="180"/>
      <c r="Z58" s="15"/>
    </row>
    <row r="59" spans="1:26" x14ac:dyDescent="0.25">
      <c r="A59" s="111">
        <v>5490</v>
      </c>
      <c r="B59" s="119" t="s">
        <v>154</v>
      </c>
      <c r="C59" s="400">
        <v>-282765.29401711089</v>
      </c>
      <c r="D59" s="400">
        <v>0</v>
      </c>
      <c r="E59" s="401">
        <v>-52260.82457896995</v>
      </c>
      <c r="F59" s="397">
        <v>-335026.11859608087</v>
      </c>
      <c r="G59" s="400">
        <v>-46111</v>
      </c>
      <c r="H59" s="400">
        <v>0</v>
      </c>
      <c r="I59" s="400">
        <v>-5399</v>
      </c>
      <c r="J59" s="402">
        <v>-51510</v>
      </c>
      <c r="K59" s="400">
        <v>136292.50503878607</v>
      </c>
      <c r="L59" s="400">
        <v>34647.715629246268</v>
      </c>
      <c r="M59" s="15">
        <v>170940.22066803233</v>
      </c>
      <c r="N59" s="397">
        <v>0</v>
      </c>
      <c r="P59" s="713">
        <v>-215595.89792804854</v>
      </c>
      <c r="Q59" s="714"/>
      <c r="R59" s="714"/>
      <c r="S59" s="715"/>
      <c r="T59" s="397">
        <v>288235.0230803861</v>
      </c>
      <c r="U59" s="398">
        <v>43901.269956968768</v>
      </c>
      <c r="V59" s="403">
        <v>116540.39510930634</v>
      </c>
      <c r="W59" s="416">
        <v>9122.4329626623075</v>
      </c>
      <c r="X59" s="180"/>
      <c r="Y59" s="180"/>
      <c r="Z59" s="15"/>
    </row>
    <row r="60" spans="1:26" x14ac:dyDescent="0.25">
      <c r="A60" s="111">
        <v>5491</v>
      </c>
      <c r="B60" s="119" t="s">
        <v>155</v>
      </c>
      <c r="C60" s="400">
        <v>-517595.03486992972</v>
      </c>
      <c r="D60" s="400">
        <v>0</v>
      </c>
      <c r="E60" s="401">
        <v>-67007.992931811648</v>
      </c>
      <c r="F60" s="397">
        <v>-584603.02780174138</v>
      </c>
      <c r="G60" s="400">
        <v>-168717</v>
      </c>
      <c r="H60" s="400">
        <v>-43267</v>
      </c>
      <c r="I60" s="400">
        <v>0</v>
      </c>
      <c r="J60" s="402">
        <v>-211984</v>
      </c>
      <c r="K60" s="400">
        <v>228071.96971136928</v>
      </c>
      <c r="L60" s="400">
        <v>57979.510665775742</v>
      </c>
      <c r="M60" s="15">
        <v>286051.480377145</v>
      </c>
      <c r="N60" s="397">
        <v>0</v>
      </c>
      <c r="P60" s="713">
        <v>-510535.54742459639</v>
      </c>
      <c r="Q60" s="714"/>
      <c r="R60" s="714"/>
      <c r="S60" s="715"/>
      <c r="T60" s="397">
        <v>482332.68172037677</v>
      </c>
      <c r="U60" s="398">
        <v>73464.414709136297</v>
      </c>
      <c r="V60" s="403">
        <v>45261.549004916684</v>
      </c>
      <c r="W60" s="416">
        <v>15265.485462771605</v>
      </c>
      <c r="X60" s="180"/>
      <c r="Y60" s="180"/>
      <c r="Z60" s="15"/>
    </row>
    <row r="61" spans="1:26" x14ac:dyDescent="0.25">
      <c r="A61" s="111">
        <v>5492</v>
      </c>
      <c r="B61" s="119" t="s">
        <v>156</v>
      </c>
      <c r="C61" s="400">
        <v>8062123.8708238425</v>
      </c>
      <c r="D61" s="400">
        <v>0</v>
      </c>
      <c r="E61" s="401">
        <v>-77112.857727168637</v>
      </c>
      <c r="F61" s="397">
        <v>7985011.0130966734</v>
      </c>
      <c r="G61" s="400">
        <v>-193820</v>
      </c>
      <c r="H61" s="400">
        <v>-116851</v>
      </c>
      <c r="I61" s="400">
        <v>0</v>
      </c>
      <c r="J61" s="402">
        <v>-310671</v>
      </c>
      <c r="K61" s="400">
        <v>441459.22507512523</v>
      </c>
      <c r="L61" s="400">
        <v>112225.93412570677</v>
      </c>
      <c r="M61" s="15">
        <v>553685.15920083201</v>
      </c>
      <c r="N61" s="397">
        <v>0</v>
      </c>
      <c r="P61" s="713">
        <v>8228025.1722975057</v>
      </c>
      <c r="Q61" s="714"/>
      <c r="R61" s="714"/>
      <c r="S61" s="715"/>
      <c r="T61" s="397">
        <v>933609.73805835494</v>
      </c>
      <c r="U61" s="398">
        <v>142198.72625792579</v>
      </c>
      <c r="V61" s="403">
        <v>9303833.6366137862</v>
      </c>
      <c r="W61" s="416">
        <v>29548.082525525722</v>
      </c>
      <c r="X61" s="180"/>
      <c r="Y61" s="180"/>
      <c r="Z61" s="15"/>
    </row>
    <row r="62" spans="1:26" x14ac:dyDescent="0.25">
      <c r="A62" s="111">
        <v>5493</v>
      </c>
      <c r="B62" s="119" t="s">
        <v>157</v>
      </c>
      <c r="C62" s="400">
        <v>-490162.67777028534</v>
      </c>
      <c r="D62" s="400">
        <v>0</v>
      </c>
      <c r="E62" s="401">
        <v>-22334.468382104285</v>
      </c>
      <c r="F62" s="397">
        <v>-512497.14615238964</v>
      </c>
      <c r="G62" s="400">
        <v>-16238</v>
      </c>
      <c r="H62" s="400">
        <v>0</v>
      </c>
      <c r="I62" s="400">
        <v>0</v>
      </c>
      <c r="J62" s="402">
        <v>-16238</v>
      </c>
      <c r="K62" s="400">
        <v>229448.661681458</v>
      </c>
      <c r="L62" s="400">
        <v>58329.487591323683</v>
      </c>
      <c r="M62" s="15">
        <v>287778.14927278168</v>
      </c>
      <c r="N62" s="397">
        <v>0</v>
      </c>
      <c r="P62" s="713">
        <v>-240956.99687960802</v>
      </c>
      <c r="Q62" s="714"/>
      <c r="R62" s="714"/>
      <c r="S62" s="715"/>
      <c r="T62" s="397">
        <v>485244.14659997658</v>
      </c>
      <c r="U62" s="398">
        <v>73907.861880418801</v>
      </c>
      <c r="V62" s="403">
        <v>318195.01160078734</v>
      </c>
      <c r="W62" s="416">
        <v>15357.631250273245</v>
      </c>
      <c r="X62" s="180"/>
      <c r="Y62" s="180"/>
      <c r="Z62" s="15"/>
    </row>
    <row r="63" spans="1:26" x14ac:dyDescent="0.25">
      <c r="A63" s="111">
        <v>5495</v>
      </c>
      <c r="B63" s="119" t="s">
        <v>158</v>
      </c>
      <c r="C63" s="400">
        <v>-3196264.9672882976</v>
      </c>
      <c r="D63" s="400">
        <v>0</v>
      </c>
      <c r="E63" s="401">
        <v>-345839.15682870313</v>
      </c>
      <c r="F63" s="397">
        <v>-3542104.124117001</v>
      </c>
      <c r="G63" s="400">
        <v>0</v>
      </c>
      <c r="H63" s="400">
        <v>0</v>
      </c>
      <c r="I63" s="400">
        <v>0</v>
      </c>
      <c r="J63" s="402">
        <v>0</v>
      </c>
      <c r="K63" s="400">
        <v>884270.69767535711</v>
      </c>
      <c r="L63" s="400">
        <v>373192.06160928891</v>
      </c>
      <c r="M63" s="15">
        <v>1257462.759284646</v>
      </c>
      <c r="N63" s="397">
        <v>-179200</v>
      </c>
      <c r="P63" s="713">
        <v>-2463841.3648323547</v>
      </c>
      <c r="Q63" s="714"/>
      <c r="R63" s="714"/>
      <c r="S63" s="715"/>
      <c r="T63" s="397">
        <v>3104592.0499466504</v>
      </c>
      <c r="U63" s="398">
        <v>530420.82985471527</v>
      </c>
      <c r="V63" s="403">
        <v>1171171.5149690108</v>
      </c>
      <c r="W63" s="416">
        <v>98258.124739248218</v>
      </c>
      <c r="X63" s="180"/>
      <c r="Y63" s="180"/>
      <c r="Z63" s="15"/>
    </row>
    <row r="64" spans="1:26" x14ac:dyDescent="0.25">
      <c r="A64" s="111">
        <v>5496</v>
      </c>
      <c r="B64" s="119" t="s">
        <v>159</v>
      </c>
      <c r="C64" s="400">
        <v>-1360266.8337964579</v>
      </c>
      <c r="D64" s="400">
        <v>0</v>
      </c>
      <c r="E64" s="401">
        <v>-140892.64503523204</v>
      </c>
      <c r="F64" s="397">
        <v>-1501159.4788316898</v>
      </c>
      <c r="G64" s="400">
        <v>0</v>
      </c>
      <c r="H64" s="400">
        <v>0</v>
      </c>
      <c r="I64" s="400">
        <v>-150078</v>
      </c>
      <c r="J64" s="402">
        <v>-150078</v>
      </c>
      <c r="K64" s="400">
        <v>656566.34347567323</v>
      </c>
      <c r="L64" s="400">
        <v>221535.39387184734</v>
      </c>
      <c r="M64" s="15">
        <v>878101.73734752054</v>
      </c>
      <c r="N64" s="397">
        <v>0</v>
      </c>
      <c r="P64" s="713">
        <v>-773135.74148416927</v>
      </c>
      <c r="Q64" s="714"/>
      <c r="R64" s="714"/>
      <c r="S64" s="715"/>
      <c r="T64" s="397">
        <v>1842957.2687867112</v>
      </c>
      <c r="U64" s="398">
        <v>303214.54071827285</v>
      </c>
      <c r="V64" s="403">
        <v>1373036.0680208146</v>
      </c>
      <c r="W64" s="416">
        <v>58328.283488537789</v>
      </c>
      <c r="X64" s="180"/>
      <c r="Y64" s="180"/>
      <c r="Z64" s="15"/>
    </row>
    <row r="65" spans="1:26" x14ac:dyDescent="0.25">
      <c r="A65" s="111">
        <v>5497</v>
      </c>
      <c r="B65" s="119" t="s">
        <v>160</v>
      </c>
      <c r="C65" s="400">
        <v>-1062701.0141752327</v>
      </c>
      <c r="D65" s="400">
        <v>0</v>
      </c>
      <c r="E65" s="401">
        <v>8746.7826763428457</v>
      </c>
      <c r="F65" s="397">
        <v>-1053954.2314988899</v>
      </c>
      <c r="G65" s="400">
        <v>0</v>
      </c>
      <c r="H65" s="400">
        <v>0</v>
      </c>
      <c r="I65" s="400">
        <v>0</v>
      </c>
      <c r="J65" s="402">
        <v>0</v>
      </c>
      <c r="K65" s="400">
        <v>424938.92143406026</v>
      </c>
      <c r="L65" s="400">
        <v>108026.21101913146</v>
      </c>
      <c r="M65" s="15">
        <v>532965.13245319168</v>
      </c>
      <c r="N65" s="397">
        <v>0</v>
      </c>
      <c r="P65" s="713">
        <v>-520989.09904569818</v>
      </c>
      <c r="Q65" s="714"/>
      <c r="R65" s="714"/>
      <c r="S65" s="715"/>
      <c r="T65" s="397">
        <v>898672.15950315667</v>
      </c>
      <c r="U65" s="398">
        <v>136877.36020253564</v>
      </c>
      <c r="V65" s="403">
        <v>514560.42065999412</v>
      </c>
      <c r="W65" s="416">
        <v>28442.333075506049</v>
      </c>
      <c r="X65" s="180"/>
      <c r="Y65" s="180"/>
      <c r="Z65" s="15"/>
    </row>
    <row r="66" spans="1:26" x14ac:dyDescent="0.25">
      <c r="A66" s="111">
        <v>5498</v>
      </c>
      <c r="B66" s="119" t="s">
        <v>161</v>
      </c>
      <c r="C66" s="400">
        <v>-2628562.3830193174</v>
      </c>
      <c r="D66" s="400">
        <v>0</v>
      </c>
      <c r="E66" s="401">
        <v>-289489.20677017805</v>
      </c>
      <c r="F66" s="397">
        <v>-2918051.5897894953</v>
      </c>
      <c r="G66" s="400">
        <v>0</v>
      </c>
      <c r="H66" s="400">
        <v>0</v>
      </c>
      <c r="I66" s="400">
        <v>0</v>
      </c>
      <c r="J66" s="402">
        <v>0</v>
      </c>
      <c r="K66" s="400">
        <v>810479.9297703671</v>
      </c>
      <c r="L66" s="400">
        <v>303196.67649970052</v>
      </c>
      <c r="M66" s="15">
        <v>1113676.6062700676</v>
      </c>
      <c r="N66" s="397">
        <v>-39500</v>
      </c>
      <c r="P66" s="713">
        <v>-1843874.9835194277</v>
      </c>
      <c r="Q66" s="714"/>
      <c r="R66" s="714"/>
      <c r="S66" s="715"/>
      <c r="T66" s="397">
        <v>2522299.0740266782</v>
      </c>
      <c r="U66" s="398">
        <v>424214.73189758835</v>
      </c>
      <c r="V66" s="403">
        <v>1102638.8224048389</v>
      </c>
      <c r="W66" s="416">
        <v>79828.967238920333</v>
      </c>
      <c r="X66" s="180"/>
      <c r="Y66" s="180"/>
      <c r="Z66" s="15"/>
    </row>
    <row r="67" spans="1:26" x14ac:dyDescent="0.25">
      <c r="A67" s="111">
        <v>5499</v>
      </c>
      <c r="B67" s="119" t="s">
        <v>162</v>
      </c>
      <c r="C67" s="400">
        <v>-142064.9944661184</v>
      </c>
      <c r="D67" s="400">
        <v>0</v>
      </c>
      <c r="E67" s="401">
        <v>3686.3229687735875</v>
      </c>
      <c r="F67" s="397">
        <v>-138378.6714973448</v>
      </c>
      <c r="G67" s="400">
        <v>-628</v>
      </c>
      <c r="H67" s="400">
        <v>0</v>
      </c>
      <c r="I67" s="400">
        <v>-16494</v>
      </c>
      <c r="J67" s="402">
        <v>-17122</v>
      </c>
      <c r="K67" s="400">
        <v>225318.58577119181</v>
      </c>
      <c r="L67" s="400">
        <v>57279.556814679854</v>
      </c>
      <c r="M67" s="15">
        <v>282598.14258587168</v>
      </c>
      <c r="N67" s="397">
        <v>0</v>
      </c>
      <c r="P67" s="713">
        <v>127097.47108852689</v>
      </c>
      <c r="Q67" s="714"/>
      <c r="R67" s="714"/>
      <c r="S67" s="715"/>
      <c r="T67" s="397">
        <v>476509.75196117704</v>
      </c>
      <c r="U67" s="398">
        <v>72577.520366571262</v>
      </c>
      <c r="V67" s="403">
        <v>676184.74341627525</v>
      </c>
      <c r="W67" s="416">
        <v>15081.193887768326</v>
      </c>
      <c r="X67" s="180"/>
      <c r="Y67" s="180"/>
      <c r="Z67" s="15"/>
    </row>
    <row r="68" spans="1:26" x14ac:dyDescent="0.25">
      <c r="A68" s="111">
        <v>5501</v>
      </c>
      <c r="B68" s="119" t="s">
        <v>163</v>
      </c>
      <c r="C68" s="400">
        <v>-235180.16298683843</v>
      </c>
      <c r="D68" s="400">
        <v>0</v>
      </c>
      <c r="E68" s="401">
        <v>-91586.361483521876</v>
      </c>
      <c r="F68" s="397">
        <v>-326766.52447036031</v>
      </c>
      <c r="G68" s="400">
        <v>0</v>
      </c>
      <c r="H68" s="400">
        <v>0</v>
      </c>
      <c r="I68" s="400">
        <v>-33632</v>
      </c>
      <c r="J68" s="402">
        <v>-33632</v>
      </c>
      <c r="K68" s="400">
        <v>502432.88062912953</v>
      </c>
      <c r="L68" s="400">
        <v>139757.45226881155</v>
      </c>
      <c r="M68" s="15">
        <v>642190.33289794112</v>
      </c>
      <c r="N68" s="397">
        <v>0</v>
      </c>
      <c r="P68" s="713">
        <v>281791.80842758081</v>
      </c>
      <c r="Q68" s="714"/>
      <c r="R68" s="714"/>
      <c r="S68" s="715"/>
      <c r="T68" s="397">
        <v>1162644.975253544</v>
      </c>
      <c r="U68" s="398">
        <v>182041.49212298688</v>
      </c>
      <c r="V68" s="403">
        <v>1626478.2758041117</v>
      </c>
      <c r="W68" s="416">
        <v>36796.884475654697</v>
      </c>
      <c r="X68" s="180"/>
      <c r="Y68" s="180"/>
      <c r="Z68" s="15"/>
    </row>
    <row r="69" spans="1:26" x14ac:dyDescent="0.25">
      <c r="A69" s="111">
        <v>5503</v>
      </c>
      <c r="B69" s="119" t="s">
        <v>164</v>
      </c>
      <c r="C69" s="400">
        <v>670619.21600720857</v>
      </c>
      <c r="D69" s="400">
        <v>0</v>
      </c>
      <c r="E69" s="401">
        <v>-69708.170196982654</v>
      </c>
      <c r="F69" s="397">
        <v>600911.04581022589</v>
      </c>
      <c r="G69" s="400">
        <v>0</v>
      </c>
      <c r="H69" s="400">
        <v>0</v>
      </c>
      <c r="I69" s="400">
        <v>0</v>
      </c>
      <c r="J69" s="402">
        <v>0</v>
      </c>
      <c r="K69" s="400">
        <v>532775.84478436923</v>
      </c>
      <c r="L69" s="400">
        <v>155856.39084401689</v>
      </c>
      <c r="M69" s="15">
        <v>688632.23562838614</v>
      </c>
      <c r="N69" s="397">
        <v>0</v>
      </c>
      <c r="P69" s="713">
        <v>1289543.2814386119</v>
      </c>
      <c r="Q69" s="714"/>
      <c r="R69" s="714"/>
      <c r="S69" s="715"/>
      <c r="T69" s="397">
        <v>1296572.3597151374</v>
      </c>
      <c r="U69" s="398">
        <v>205895.81552690908</v>
      </c>
      <c r="V69" s="403">
        <v>2792011.4566806583</v>
      </c>
      <c r="W69" s="416">
        <v>41035.590700730114</v>
      </c>
      <c r="X69" s="180"/>
      <c r="Y69" s="180"/>
      <c r="Z69" s="15"/>
    </row>
    <row r="70" spans="1:26" x14ac:dyDescent="0.25">
      <c r="A70" s="111">
        <v>5511</v>
      </c>
      <c r="B70" s="119" t="s">
        <v>165</v>
      </c>
      <c r="C70" s="400">
        <v>-409529.05786817189</v>
      </c>
      <c r="D70" s="400">
        <v>0</v>
      </c>
      <c r="E70" s="401">
        <v>-79239.134865626169</v>
      </c>
      <c r="F70" s="397">
        <v>-488768.19273379806</v>
      </c>
      <c r="G70" s="400">
        <v>0</v>
      </c>
      <c r="H70" s="400">
        <v>0</v>
      </c>
      <c r="I70" s="400">
        <v>0</v>
      </c>
      <c r="J70" s="402">
        <v>0</v>
      </c>
      <c r="K70" s="400">
        <v>612371.15655391093</v>
      </c>
      <c r="L70" s="400">
        <v>198086.93986013523</v>
      </c>
      <c r="M70" s="15">
        <v>810458.09641404613</v>
      </c>
      <c r="N70" s="397">
        <v>-58900</v>
      </c>
      <c r="P70" s="713">
        <v>262789.90368024807</v>
      </c>
      <c r="Q70" s="714"/>
      <c r="R70" s="714"/>
      <c r="S70" s="715"/>
      <c r="T70" s="397">
        <v>1647889.1218535206</v>
      </c>
      <c r="U70" s="398">
        <v>268470.20010821224</v>
      </c>
      <c r="V70" s="403">
        <v>2179149.2256419812</v>
      </c>
      <c r="W70" s="416">
        <v>52154.515725927944</v>
      </c>
      <c r="X70" s="180"/>
      <c r="Y70" s="180"/>
      <c r="Z70" s="15"/>
    </row>
    <row r="71" spans="1:26" x14ac:dyDescent="0.25">
      <c r="A71" s="111">
        <v>5512</v>
      </c>
      <c r="B71" s="119" t="s">
        <v>166</v>
      </c>
      <c r="C71" s="400">
        <v>-1172408.701324661</v>
      </c>
      <c r="D71" s="400">
        <v>0</v>
      </c>
      <c r="E71" s="401">
        <v>-150487.49629639738</v>
      </c>
      <c r="F71" s="397">
        <v>-1322896.1976210584</v>
      </c>
      <c r="G71" s="400">
        <v>0</v>
      </c>
      <c r="H71" s="400">
        <v>0</v>
      </c>
      <c r="I71" s="400">
        <v>0</v>
      </c>
      <c r="J71" s="402">
        <v>0</v>
      </c>
      <c r="K71" s="400">
        <v>531456.58547327179</v>
      </c>
      <c r="L71" s="400">
        <v>155156.43699292099</v>
      </c>
      <c r="M71" s="15">
        <v>686613.02246619272</v>
      </c>
      <c r="N71" s="397">
        <v>-192200</v>
      </c>
      <c r="P71" s="713">
        <v>-828483.17515486572</v>
      </c>
      <c r="Q71" s="714"/>
      <c r="R71" s="714"/>
      <c r="S71" s="715"/>
      <c r="T71" s="397">
        <v>1290749.4299559377</v>
      </c>
      <c r="U71" s="398">
        <v>204858.67103108636</v>
      </c>
      <c r="V71" s="403">
        <v>667124.9258321583</v>
      </c>
      <c r="W71" s="416">
        <v>40851.29912572683</v>
      </c>
      <c r="X71" s="180"/>
      <c r="Y71" s="180"/>
      <c r="Z71" s="15"/>
    </row>
    <row r="72" spans="1:26" x14ac:dyDescent="0.25">
      <c r="A72" s="111">
        <v>5514</v>
      </c>
      <c r="B72" s="119" t="s">
        <v>167</v>
      </c>
      <c r="C72" s="400">
        <v>-1169518.9264952035</v>
      </c>
      <c r="D72" s="400">
        <v>0</v>
      </c>
      <c r="E72" s="401">
        <v>-127823.9185010794</v>
      </c>
      <c r="F72" s="397">
        <v>-1297342.8449962828</v>
      </c>
      <c r="G72" s="400">
        <v>0</v>
      </c>
      <c r="H72" s="400">
        <v>-36552</v>
      </c>
      <c r="I72" s="400">
        <v>-105343</v>
      </c>
      <c r="J72" s="402">
        <v>-141895</v>
      </c>
      <c r="K72" s="400">
        <v>542010.65996205085</v>
      </c>
      <c r="L72" s="400">
        <v>160756.06780168807</v>
      </c>
      <c r="M72" s="15">
        <v>702766.72776373895</v>
      </c>
      <c r="N72" s="397">
        <v>0</v>
      </c>
      <c r="P72" s="713">
        <v>-736471.11723254388</v>
      </c>
      <c r="Q72" s="714"/>
      <c r="R72" s="714"/>
      <c r="S72" s="715"/>
      <c r="T72" s="397">
        <v>1337332.8680295355</v>
      </c>
      <c r="U72" s="398">
        <v>213155.82699766799</v>
      </c>
      <c r="V72" s="403">
        <v>814017.57779465965</v>
      </c>
      <c r="W72" s="416">
        <v>42325.631725753061</v>
      </c>
      <c r="X72" s="180"/>
      <c r="Y72" s="180"/>
      <c r="Z72" s="15"/>
    </row>
    <row r="73" spans="1:26" x14ac:dyDescent="0.25">
      <c r="A73" s="111">
        <v>5515</v>
      </c>
      <c r="B73" s="119" t="s">
        <v>168</v>
      </c>
      <c r="C73" s="400">
        <v>-581999.34980648442</v>
      </c>
      <c r="D73" s="400">
        <v>0</v>
      </c>
      <c r="E73" s="401">
        <v>-94662.977370438224</v>
      </c>
      <c r="F73" s="397">
        <v>-676662.3271769227</v>
      </c>
      <c r="G73" s="400">
        <v>0</v>
      </c>
      <c r="H73" s="400">
        <v>-106</v>
      </c>
      <c r="I73" s="400">
        <v>-18435</v>
      </c>
      <c r="J73" s="402">
        <v>-18541</v>
      </c>
      <c r="K73" s="400">
        <v>409795.30976308405</v>
      </c>
      <c r="L73" s="400">
        <v>104176.4648381041</v>
      </c>
      <c r="M73" s="15">
        <v>513971.77460118814</v>
      </c>
      <c r="N73" s="397">
        <v>-6500</v>
      </c>
      <c r="P73" s="713">
        <v>-187731.55257573456</v>
      </c>
      <c r="Q73" s="714"/>
      <c r="R73" s="714"/>
      <c r="S73" s="715"/>
      <c r="T73" s="397">
        <v>866646.04582755826</v>
      </c>
      <c r="U73" s="398">
        <v>131999.44131842797</v>
      </c>
      <c r="V73" s="403">
        <v>810913.93457025173</v>
      </c>
      <c r="W73" s="416">
        <v>27428.729412988017</v>
      </c>
      <c r="X73" s="180"/>
      <c r="Y73" s="180"/>
      <c r="Z73" s="15"/>
    </row>
    <row r="74" spans="1:26" x14ac:dyDescent="0.25">
      <c r="A74" s="111">
        <v>5516</v>
      </c>
      <c r="B74" s="119" t="s">
        <v>169</v>
      </c>
      <c r="C74" s="400">
        <v>-958927.53982010775</v>
      </c>
      <c r="D74" s="400">
        <v>0</v>
      </c>
      <c r="E74" s="401">
        <v>-281301.07021658204</v>
      </c>
      <c r="F74" s="397">
        <v>-1240228.6100366898</v>
      </c>
      <c r="G74" s="400">
        <v>0</v>
      </c>
      <c r="H74" s="400">
        <v>-1136</v>
      </c>
      <c r="I74" s="400">
        <v>0</v>
      </c>
      <c r="J74" s="402">
        <v>-1136</v>
      </c>
      <c r="K74" s="400">
        <v>839943.3877182086</v>
      </c>
      <c r="L74" s="400">
        <v>318828.97917417524</v>
      </c>
      <c r="M74" s="15">
        <v>1158772.3668923839</v>
      </c>
      <c r="N74" s="397">
        <v>-24100</v>
      </c>
      <c r="P74" s="713">
        <v>-106692.24314430589</v>
      </c>
      <c r="Q74" s="714"/>
      <c r="R74" s="714"/>
      <c r="S74" s="715"/>
      <c r="T74" s="397">
        <v>2652344.5053154719</v>
      </c>
      <c r="U74" s="398">
        <v>447377.62563762878</v>
      </c>
      <c r="V74" s="403">
        <v>2993029.8878087946</v>
      </c>
      <c r="W74" s="416">
        <v>83944.812413993553</v>
      </c>
      <c r="X74" s="180"/>
      <c r="Y74" s="180"/>
      <c r="Z74" s="15"/>
    </row>
    <row r="75" spans="1:26" x14ac:dyDescent="0.25">
      <c r="A75" s="111">
        <v>5518</v>
      </c>
      <c r="B75" s="119" t="s">
        <v>170</v>
      </c>
      <c r="C75" s="400">
        <v>-6305843.7816758454</v>
      </c>
      <c r="D75" s="400">
        <v>0</v>
      </c>
      <c r="E75" s="401">
        <v>-643611.14977437875</v>
      </c>
      <c r="F75" s="397">
        <v>-6949454.9314502245</v>
      </c>
      <c r="G75" s="400">
        <v>0</v>
      </c>
      <c r="H75" s="400">
        <v>0</v>
      </c>
      <c r="I75" s="400">
        <v>0</v>
      </c>
      <c r="J75" s="402">
        <v>0</v>
      </c>
      <c r="K75" s="400">
        <v>640537.89756838325</v>
      </c>
      <c r="L75" s="400">
        <v>766682.78490035853</v>
      </c>
      <c r="M75" s="15">
        <v>1407220.6824687417</v>
      </c>
      <c r="N75" s="397">
        <v>-385500</v>
      </c>
      <c r="P75" s="713">
        <v>-5927734.2489814833</v>
      </c>
      <c r="Q75" s="714"/>
      <c r="R75" s="714"/>
      <c r="S75" s="715"/>
      <c r="T75" s="397">
        <v>6378049.0629100921</v>
      </c>
      <c r="U75" s="398">
        <v>1175384.4779113142</v>
      </c>
      <c r="V75" s="403">
        <v>1625699.291839923</v>
      </c>
      <c r="W75" s="416">
        <v>201860.70515359152</v>
      </c>
      <c r="X75" s="180"/>
      <c r="Y75" s="180"/>
      <c r="Z75" s="15"/>
    </row>
    <row r="76" spans="1:26" x14ac:dyDescent="0.25">
      <c r="A76" s="111">
        <v>5520</v>
      </c>
      <c r="B76" s="119" t="s">
        <v>171</v>
      </c>
      <c r="C76" s="400">
        <v>-1131372.6811609475</v>
      </c>
      <c r="D76" s="400">
        <v>0</v>
      </c>
      <c r="E76" s="401">
        <v>-51996.937524450477</v>
      </c>
      <c r="F76" s="397">
        <v>-1183369.618685398</v>
      </c>
      <c r="G76" s="400">
        <v>-11086</v>
      </c>
      <c r="H76" s="400">
        <v>0</v>
      </c>
      <c r="I76" s="400">
        <v>-87692</v>
      </c>
      <c r="J76" s="402">
        <v>-98778</v>
      </c>
      <c r="K76" s="400">
        <v>481984.36130712018</v>
      </c>
      <c r="L76" s="400">
        <v>128908.16757682535</v>
      </c>
      <c r="M76" s="15">
        <v>610892.52888394555</v>
      </c>
      <c r="N76" s="397">
        <v>0</v>
      </c>
      <c r="P76" s="713">
        <v>-671255.08980145247</v>
      </c>
      <c r="Q76" s="714"/>
      <c r="R76" s="714"/>
      <c r="S76" s="715"/>
      <c r="T76" s="397">
        <v>1072389.5639859482</v>
      </c>
      <c r="U76" s="398">
        <v>165965.75243773492</v>
      </c>
      <c r="V76" s="403">
        <v>567100.22662223061</v>
      </c>
      <c r="W76" s="416">
        <v>33940.365063103869</v>
      </c>
      <c r="X76" s="180"/>
      <c r="Y76" s="180"/>
      <c r="Z76" s="15"/>
    </row>
    <row r="77" spans="1:26" x14ac:dyDescent="0.25">
      <c r="A77" s="111">
        <v>5521</v>
      </c>
      <c r="B77" s="119" t="s">
        <v>172</v>
      </c>
      <c r="C77" s="400">
        <v>-625434.00390231691</v>
      </c>
      <c r="D77" s="400">
        <v>0</v>
      </c>
      <c r="E77" s="401">
        <v>-117485.94924765243</v>
      </c>
      <c r="F77" s="397">
        <v>-742919.95314996934</v>
      </c>
      <c r="G77" s="400">
        <v>0</v>
      </c>
      <c r="H77" s="400">
        <v>0</v>
      </c>
      <c r="I77" s="400">
        <v>0</v>
      </c>
      <c r="J77" s="402">
        <v>0</v>
      </c>
      <c r="K77" s="400">
        <v>496716.09028104087</v>
      </c>
      <c r="L77" s="400">
        <v>136724.31891406272</v>
      </c>
      <c r="M77" s="15">
        <v>633440.40919510357</v>
      </c>
      <c r="N77" s="397">
        <v>0</v>
      </c>
      <c r="P77" s="713">
        <v>-109479.54395486577</v>
      </c>
      <c r="Q77" s="714"/>
      <c r="R77" s="714"/>
      <c r="S77" s="715"/>
      <c r="T77" s="397">
        <v>1137412.2796303451</v>
      </c>
      <c r="U77" s="398">
        <v>177547.19930775513</v>
      </c>
      <c r="V77" s="403">
        <v>1205479.9349832344</v>
      </c>
      <c r="W77" s="416">
        <v>35998.287650640486</v>
      </c>
      <c r="X77" s="180"/>
      <c r="Y77" s="180"/>
      <c r="Z77" s="15"/>
    </row>
    <row r="78" spans="1:26" x14ac:dyDescent="0.25">
      <c r="A78" s="111">
        <v>5522</v>
      </c>
      <c r="B78" s="119" t="s">
        <v>173</v>
      </c>
      <c r="C78" s="400">
        <v>-755378.83198946319</v>
      </c>
      <c r="D78" s="400">
        <v>0</v>
      </c>
      <c r="E78" s="401">
        <v>-26097.311191091125</v>
      </c>
      <c r="F78" s="397">
        <v>-781476.14318055427</v>
      </c>
      <c r="G78" s="400">
        <v>-15147</v>
      </c>
      <c r="H78" s="400">
        <v>0</v>
      </c>
      <c r="I78" s="400">
        <v>-167303</v>
      </c>
      <c r="J78" s="402">
        <v>-182450</v>
      </c>
      <c r="K78" s="400">
        <v>350138.65772590495</v>
      </c>
      <c r="L78" s="400">
        <v>89010.798064359944</v>
      </c>
      <c r="M78" s="15">
        <v>439149.45579026488</v>
      </c>
      <c r="N78" s="397">
        <v>0</v>
      </c>
      <c r="P78" s="713">
        <v>-524776.68739028939</v>
      </c>
      <c r="Q78" s="714"/>
      <c r="R78" s="714"/>
      <c r="S78" s="715"/>
      <c r="T78" s="397">
        <v>740482.56771156425</v>
      </c>
      <c r="U78" s="398">
        <v>112783.39722951909</v>
      </c>
      <c r="V78" s="403">
        <v>328489.27755079395</v>
      </c>
      <c r="W78" s="416">
        <v>23435.745287916972</v>
      </c>
      <c r="X78" s="180"/>
      <c r="Y78" s="180"/>
      <c r="Z78" s="15"/>
    </row>
    <row r="79" spans="1:26" x14ac:dyDescent="0.25">
      <c r="A79" s="111">
        <v>5523</v>
      </c>
      <c r="B79" s="119" t="s">
        <v>174</v>
      </c>
      <c r="C79" s="400">
        <v>-2150577.859026128</v>
      </c>
      <c r="D79" s="400">
        <v>0</v>
      </c>
      <c r="E79" s="401">
        <v>-286708.79113276099</v>
      </c>
      <c r="F79" s="397">
        <v>-2437286.6501588891</v>
      </c>
      <c r="G79" s="400">
        <v>0</v>
      </c>
      <c r="H79" s="400">
        <v>-52599</v>
      </c>
      <c r="I79" s="400">
        <v>-117119</v>
      </c>
      <c r="J79" s="402">
        <v>-169718</v>
      </c>
      <c r="K79" s="400">
        <v>838844.00495896081</v>
      </c>
      <c r="L79" s="400">
        <v>318245.684298262</v>
      </c>
      <c r="M79" s="15">
        <v>1157089.6892572227</v>
      </c>
      <c r="N79" s="397">
        <v>0</v>
      </c>
      <c r="P79" s="713">
        <v>-1449914.9609016664</v>
      </c>
      <c r="Q79" s="714"/>
      <c r="R79" s="714"/>
      <c r="S79" s="715"/>
      <c r="T79" s="397">
        <v>2647492.0638494724</v>
      </c>
      <c r="U79" s="398">
        <v>446513.33855777653</v>
      </c>
      <c r="V79" s="403">
        <v>1644090.4415055825</v>
      </c>
      <c r="W79" s="416">
        <v>83791.236101490824</v>
      </c>
      <c r="X79" s="180"/>
      <c r="Y79" s="180"/>
      <c r="Z79" s="15"/>
    </row>
    <row r="80" spans="1:26" x14ac:dyDescent="0.25">
      <c r="A80" s="111">
        <v>5527</v>
      </c>
      <c r="B80" s="119" t="s">
        <v>175</v>
      </c>
      <c r="C80" s="400">
        <v>-666717.14238702366</v>
      </c>
      <c r="D80" s="400">
        <v>0</v>
      </c>
      <c r="E80" s="401">
        <v>-66975.509744726151</v>
      </c>
      <c r="F80" s="397">
        <v>-733692.65213174978</v>
      </c>
      <c r="G80" s="400">
        <v>0</v>
      </c>
      <c r="H80" s="400">
        <v>0</v>
      </c>
      <c r="I80" s="400">
        <v>-25179</v>
      </c>
      <c r="J80" s="402">
        <v>-25179</v>
      </c>
      <c r="K80" s="400">
        <v>490119.79372555396</v>
      </c>
      <c r="L80" s="400">
        <v>133224.5496585833</v>
      </c>
      <c r="M80" s="15">
        <v>623344.34338413726</v>
      </c>
      <c r="N80" s="397">
        <v>0</v>
      </c>
      <c r="P80" s="713">
        <v>-135527.30874761252</v>
      </c>
      <c r="Q80" s="714"/>
      <c r="R80" s="714"/>
      <c r="S80" s="715"/>
      <c r="T80" s="397">
        <v>1108297.6308343466</v>
      </c>
      <c r="U80" s="398">
        <v>172361.47682864161</v>
      </c>
      <c r="V80" s="403">
        <v>1145131.7989153757</v>
      </c>
      <c r="W80" s="416">
        <v>35076.829775624094</v>
      </c>
      <c r="X80" s="180"/>
      <c r="Y80" s="180"/>
      <c r="Z80" s="15"/>
    </row>
    <row r="81" spans="1:26" x14ac:dyDescent="0.25">
      <c r="A81" s="111">
        <v>5529</v>
      </c>
      <c r="B81" s="119" t="s">
        <v>176</v>
      </c>
      <c r="C81" s="400">
        <v>-334135.56948989228</v>
      </c>
      <c r="D81" s="400">
        <v>0</v>
      </c>
      <c r="E81" s="401">
        <v>-85581.600058525131</v>
      </c>
      <c r="F81" s="397">
        <v>-419717.16954841744</v>
      </c>
      <c r="G81" s="400">
        <v>-12474</v>
      </c>
      <c r="H81" s="400">
        <v>0</v>
      </c>
      <c r="I81" s="400">
        <v>-56603</v>
      </c>
      <c r="J81" s="402">
        <v>-69077</v>
      </c>
      <c r="K81" s="400">
        <v>275338.3940177497</v>
      </c>
      <c r="L81" s="400">
        <v>69995.385109588417</v>
      </c>
      <c r="M81" s="15">
        <v>345333.77912733809</v>
      </c>
      <c r="N81" s="397">
        <v>0</v>
      </c>
      <c r="P81" s="713">
        <v>-143460.39042107936</v>
      </c>
      <c r="Q81" s="714"/>
      <c r="R81" s="714"/>
      <c r="S81" s="715"/>
      <c r="T81" s="397">
        <v>582292.97591997194</v>
      </c>
      <c r="U81" s="398">
        <v>88689.434256502558</v>
      </c>
      <c r="V81" s="403">
        <v>527522.01975539513</v>
      </c>
      <c r="W81" s="416">
        <v>18429.157500327896</v>
      </c>
      <c r="X81" s="180"/>
      <c r="Y81" s="180"/>
      <c r="Z81" s="15"/>
    </row>
    <row r="82" spans="1:26" x14ac:dyDescent="0.25">
      <c r="A82" s="111">
        <v>5530</v>
      </c>
      <c r="B82" s="119" t="s">
        <v>177</v>
      </c>
      <c r="C82" s="400">
        <v>-395135.34266866761</v>
      </c>
      <c r="D82" s="400">
        <v>0</v>
      </c>
      <c r="E82" s="401">
        <v>-53567.241456184129</v>
      </c>
      <c r="F82" s="397">
        <v>-448702.58412485174</v>
      </c>
      <c r="G82" s="400">
        <v>-12562</v>
      </c>
      <c r="H82" s="400">
        <v>0</v>
      </c>
      <c r="I82" s="400">
        <v>-72466</v>
      </c>
      <c r="J82" s="402">
        <v>-85028</v>
      </c>
      <c r="K82" s="400">
        <v>264324.85825703968</v>
      </c>
      <c r="L82" s="400">
        <v>67195.569705204878</v>
      </c>
      <c r="M82" s="15">
        <v>331520.42796224455</v>
      </c>
      <c r="N82" s="397">
        <v>-184300</v>
      </c>
      <c r="P82" s="713">
        <v>-386510.15616260719</v>
      </c>
      <c r="Q82" s="714"/>
      <c r="R82" s="714"/>
      <c r="S82" s="715"/>
      <c r="T82" s="397">
        <v>559001.25688317302</v>
      </c>
      <c r="U82" s="398">
        <v>85141.856886242458</v>
      </c>
      <c r="V82" s="403">
        <v>257632.95760680828</v>
      </c>
      <c r="W82" s="416">
        <v>17691.99120031478</v>
      </c>
      <c r="X82" s="180"/>
      <c r="Y82" s="180"/>
      <c r="Z82" s="15"/>
    </row>
    <row r="83" spans="1:26" x14ac:dyDescent="0.25">
      <c r="A83" s="111">
        <v>5531</v>
      </c>
      <c r="B83" s="119" t="s">
        <v>178</v>
      </c>
      <c r="C83" s="400">
        <v>-218470.85789293723</v>
      </c>
      <c r="D83" s="400">
        <v>0</v>
      </c>
      <c r="E83" s="401">
        <v>22164.771074040851</v>
      </c>
      <c r="F83" s="397">
        <v>-196306.08681889638</v>
      </c>
      <c r="G83" s="400">
        <v>-24143</v>
      </c>
      <c r="H83" s="400">
        <v>0</v>
      </c>
      <c r="I83" s="400">
        <v>-80</v>
      </c>
      <c r="J83" s="402">
        <v>-24223</v>
      </c>
      <c r="K83" s="400">
        <v>200538.13030959433</v>
      </c>
      <c r="L83" s="400">
        <v>50979.972154816896</v>
      </c>
      <c r="M83" s="15">
        <v>251518.10246441123</v>
      </c>
      <c r="N83" s="397">
        <v>0</v>
      </c>
      <c r="P83" s="713">
        <v>30989.015645514854</v>
      </c>
      <c r="Q83" s="714"/>
      <c r="R83" s="714"/>
      <c r="S83" s="715"/>
      <c r="T83" s="397">
        <v>424103.38412837958</v>
      </c>
      <c r="U83" s="398">
        <v>64595.471283486026</v>
      </c>
      <c r="V83" s="403">
        <v>519687.87105738046</v>
      </c>
      <c r="W83" s="416">
        <v>13422.569712738816</v>
      </c>
      <c r="X83" s="180"/>
      <c r="Y83" s="180"/>
      <c r="Z83" s="15"/>
    </row>
    <row r="84" spans="1:26" x14ac:dyDescent="0.25">
      <c r="A84" s="111">
        <v>5533</v>
      </c>
      <c r="B84" s="119" t="s">
        <v>179</v>
      </c>
      <c r="C84" s="400">
        <v>-825147.787896108</v>
      </c>
      <c r="D84" s="400">
        <v>0</v>
      </c>
      <c r="E84" s="401">
        <v>-73822.426485446704</v>
      </c>
      <c r="F84" s="397">
        <v>-898970.21438155475</v>
      </c>
      <c r="G84" s="400">
        <v>0</v>
      </c>
      <c r="H84" s="400">
        <v>-22843</v>
      </c>
      <c r="I84" s="400">
        <v>-77609</v>
      </c>
      <c r="J84" s="402">
        <v>-100452</v>
      </c>
      <c r="K84" s="400">
        <v>401994.05526591447</v>
      </c>
      <c r="L84" s="400">
        <v>102193.2622599991</v>
      </c>
      <c r="M84" s="15">
        <v>504187.31752591359</v>
      </c>
      <c r="N84" s="397">
        <v>0</v>
      </c>
      <c r="P84" s="713">
        <v>-495234.89685564116</v>
      </c>
      <c r="Q84" s="714"/>
      <c r="R84" s="714"/>
      <c r="S84" s="715"/>
      <c r="T84" s="397">
        <v>850147.74484315899</v>
      </c>
      <c r="U84" s="398">
        <v>129486.57401449374</v>
      </c>
      <c r="V84" s="403">
        <v>484399.42200201156</v>
      </c>
      <c r="W84" s="416">
        <v>26906.569950478726</v>
      </c>
      <c r="X84" s="180"/>
      <c r="Y84" s="180"/>
      <c r="Z84" s="15"/>
    </row>
    <row r="85" spans="1:26" x14ac:dyDescent="0.25">
      <c r="A85" s="111">
        <v>5534</v>
      </c>
      <c r="B85" s="119" t="s">
        <v>180</v>
      </c>
      <c r="C85" s="400">
        <v>71237.088318807248</v>
      </c>
      <c r="D85" s="400">
        <v>0</v>
      </c>
      <c r="E85" s="401">
        <v>-42976.133662790991</v>
      </c>
      <c r="F85" s="397">
        <v>28260.954656016256</v>
      </c>
      <c r="G85" s="400">
        <v>0</v>
      </c>
      <c r="H85" s="400">
        <v>0</v>
      </c>
      <c r="I85" s="400">
        <v>0</v>
      </c>
      <c r="J85" s="402">
        <v>0</v>
      </c>
      <c r="K85" s="400">
        <v>138586.99165560066</v>
      </c>
      <c r="L85" s="400">
        <v>35231.010505159502</v>
      </c>
      <c r="M85" s="15">
        <v>173818.00216076017</v>
      </c>
      <c r="N85" s="397">
        <v>0</v>
      </c>
      <c r="P85" s="713">
        <v>202078.95681677642</v>
      </c>
      <c r="Q85" s="714"/>
      <c r="R85" s="714"/>
      <c r="S85" s="715"/>
      <c r="T85" s="397">
        <v>293087.46454638586</v>
      </c>
      <c r="U85" s="398">
        <v>44640.348575772958</v>
      </c>
      <c r="V85" s="403">
        <v>539806.76993893529</v>
      </c>
      <c r="W85" s="416">
        <v>9276.0092751650409</v>
      </c>
      <c r="X85" s="180"/>
      <c r="Y85" s="180"/>
      <c r="Z85" s="15"/>
    </row>
    <row r="86" spans="1:26" x14ac:dyDescent="0.25">
      <c r="A86" s="111">
        <v>5535</v>
      </c>
      <c r="B86" s="119" t="s">
        <v>181</v>
      </c>
      <c r="C86" s="400">
        <v>-700399.23068862548</v>
      </c>
      <c r="D86" s="400">
        <v>0</v>
      </c>
      <c r="E86" s="401">
        <v>-58034.636097528914</v>
      </c>
      <c r="F86" s="397">
        <v>-758433.86678615445</v>
      </c>
      <c r="G86" s="400">
        <v>0</v>
      </c>
      <c r="H86" s="400">
        <v>0</v>
      </c>
      <c r="I86" s="400">
        <v>0</v>
      </c>
      <c r="J86" s="402">
        <v>0</v>
      </c>
      <c r="K86" s="400">
        <v>380425.88106785744</v>
      </c>
      <c r="L86" s="400">
        <v>96710.290426414664</v>
      </c>
      <c r="M86" s="15">
        <v>477136.17149427207</v>
      </c>
      <c r="N86" s="397">
        <v>0</v>
      </c>
      <c r="P86" s="713">
        <v>-281297.69529188238</v>
      </c>
      <c r="Q86" s="714"/>
      <c r="R86" s="714"/>
      <c r="S86" s="715"/>
      <c r="T86" s="397">
        <v>804534.79506276117</v>
      </c>
      <c r="U86" s="398">
        <v>122539.23499773437</v>
      </c>
      <c r="V86" s="403">
        <v>645776.3347686131</v>
      </c>
      <c r="W86" s="416">
        <v>25462.952612953042</v>
      </c>
      <c r="X86" s="180"/>
      <c r="Y86" s="180"/>
      <c r="Z86" s="15"/>
    </row>
    <row r="87" spans="1:26" x14ac:dyDescent="0.25">
      <c r="A87" s="111">
        <v>5537</v>
      </c>
      <c r="B87" s="119" t="s">
        <v>182</v>
      </c>
      <c r="C87" s="400">
        <v>-1392026.7055535023</v>
      </c>
      <c r="D87" s="400">
        <v>0</v>
      </c>
      <c r="E87" s="401">
        <v>-126003.00315994272</v>
      </c>
      <c r="F87" s="397">
        <v>-1518029.7087134451</v>
      </c>
      <c r="G87" s="400">
        <v>0</v>
      </c>
      <c r="H87" s="400">
        <v>0</v>
      </c>
      <c r="I87" s="400">
        <v>-88958</v>
      </c>
      <c r="J87" s="402">
        <v>-88958</v>
      </c>
      <c r="K87" s="400">
        <v>524420.53581408586</v>
      </c>
      <c r="L87" s="400">
        <v>151423.34978707629</v>
      </c>
      <c r="M87" s="15">
        <v>675843.88560116221</v>
      </c>
      <c r="N87" s="397">
        <v>0</v>
      </c>
      <c r="P87" s="713">
        <v>-931143.8231122829</v>
      </c>
      <c r="Q87" s="714"/>
      <c r="R87" s="714"/>
      <c r="S87" s="715"/>
      <c r="T87" s="397">
        <v>1259693.8045735392</v>
      </c>
      <c r="U87" s="398">
        <v>199327.23372003195</v>
      </c>
      <c r="V87" s="403">
        <v>527877.21518128819</v>
      </c>
      <c r="W87" s="416">
        <v>39868.410725709342</v>
      </c>
      <c r="X87" s="180"/>
      <c r="Y87" s="180"/>
      <c r="Z87" s="15"/>
    </row>
    <row r="88" spans="1:26" x14ac:dyDescent="0.25">
      <c r="A88" s="111">
        <v>5539</v>
      </c>
      <c r="B88" s="119" t="s">
        <v>183</v>
      </c>
      <c r="C88" s="400">
        <v>-1090981.3853022414</v>
      </c>
      <c r="D88" s="400">
        <v>0</v>
      </c>
      <c r="E88" s="401">
        <v>-87763.733890922042</v>
      </c>
      <c r="F88" s="397">
        <v>-1178745.1191931635</v>
      </c>
      <c r="G88" s="400">
        <v>-3179</v>
      </c>
      <c r="H88" s="400">
        <v>0</v>
      </c>
      <c r="I88" s="400">
        <v>-216970</v>
      </c>
      <c r="J88" s="402">
        <v>-220149</v>
      </c>
      <c r="K88" s="400">
        <v>481544.60820342106</v>
      </c>
      <c r="L88" s="400">
        <v>128674.84962646004</v>
      </c>
      <c r="M88" s="15">
        <v>610219.45782988111</v>
      </c>
      <c r="N88" s="397">
        <v>0</v>
      </c>
      <c r="P88" s="713">
        <v>-788674.66136328236</v>
      </c>
      <c r="Q88" s="714"/>
      <c r="R88" s="714"/>
      <c r="S88" s="715"/>
      <c r="T88" s="397">
        <v>1070448.5873995484</v>
      </c>
      <c r="U88" s="398">
        <v>165620.03760579403</v>
      </c>
      <c r="V88" s="403">
        <v>447393.96364206006</v>
      </c>
      <c r="W88" s="416">
        <v>33878.934538102782</v>
      </c>
      <c r="X88" s="180"/>
      <c r="Y88" s="180"/>
      <c r="Z88" s="15"/>
    </row>
    <row r="89" spans="1:26" x14ac:dyDescent="0.25">
      <c r="A89" s="111">
        <v>5540</v>
      </c>
      <c r="B89" s="119" t="s">
        <v>184</v>
      </c>
      <c r="C89" s="400">
        <v>-1003048.1476683432</v>
      </c>
      <c r="D89" s="400">
        <v>0</v>
      </c>
      <c r="E89" s="401">
        <v>-239896.49095141102</v>
      </c>
      <c r="F89" s="397">
        <v>-1242944.6386197542</v>
      </c>
      <c r="G89" s="400">
        <v>0</v>
      </c>
      <c r="H89" s="400">
        <v>-7327</v>
      </c>
      <c r="I89" s="400">
        <v>0</v>
      </c>
      <c r="J89" s="402">
        <v>-7327</v>
      </c>
      <c r="K89" s="400">
        <v>655466.96071642532</v>
      </c>
      <c r="L89" s="400">
        <v>220952.09899593412</v>
      </c>
      <c r="M89" s="15">
        <v>876419.05971235945</v>
      </c>
      <c r="N89" s="397">
        <v>-97100</v>
      </c>
      <c r="P89" s="713">
        <v>-470952.57890739478</v>
      </c>
      <c r="Q89" s="714"/>
      <c r="R89" s="714"/>
      <c r="S89" s="715"/>
      <c r="T89" s="397">
        <v>1838104.8273207115</v>
      </c>
      <c r="U89" s="398">
        <v>302350.2536384206</v>
      </c>
      <c r="V89" s="403">
        <v>1669502.5020517372</v>
      </c>
      <c r="W89" s="416">
        <v>58174.707176035052</v>
      </c>
      <c r="X89" s="180"/>
      <c r="Y89" s="180"/>
      <c r="Z89" s="15"/>
    </row>
    <row r="90" spans="1:26" x14ac:dyDescent="0.25">
      <c r="A90" s="111">
        <v>5541</v>
      </c>
      <c r="B90" s="119" t="s">
        <v>185</v>
      </c>
      <c r="C90" s="400">
        <v>-870799.28215104109</v>
      </c>
      <c r="D90" s="400">
        <v>0</v>
      </c>
      <c r="E90" s="401">
        <v>-178313.50691822078</v>
      </c>
      <c r="F90" s="397">
        <v>-1049112.7890692619</v>
      </c>
      <c r="G90" s="400">
        <v>-11944</v>
      </c>
      <c r="H90" s="400">
        <v>0</v>
      </c>
      <c r="I90" s="400">
        <v>-242631</v>
      </c>
      <c r="J90" s="402">
        <v>-254575</v>
      </c>
      <c r="K90" s="400">
        <v>505511.15235502343</v>
      </c>
      <c r="L90" s="400">
        <v>141390.67792136859</v>
      </c>
      <c r="M90" s="15">
        <v>646901.83027639205</v>
      </c>
      <c r="N90" s="397">
        <v>0</v>
      </c>
      <c r="P90" s="713">
        <v>-656785.95879286982</v>
      </c>
      <c r="Q90" s="714"/>
      <c r="R90" s="714"/>
      <c r="S90" s="715"/>
      <c r="T90" s="397">
        <v>1176231.8113583433</v>
      </c>
      <c r="U90" s="398">
        <v>184461.49594657318</v>
      </c>
      <c r="V90" s="403">
        <v>703907.34851204674</v>
      </c>
      <c r="W90" s="416">
        <v>37226.898150662346</v>
      </c>
      <c r="X90" s="180"/>
      <c r="Y90" s="180"/>
      <c r="Z90" s="15"/>
    </row>
    <row r="91" spans="1:26" x14ac:dyDescent="0.25">
      <c r="A91" s="111">
        <v>5551</v>
      </c>
      <c r="B91" s="119" t="s">
        <v>186</v>
      </c>
      <c r="C91" s="400">
        <v>-377613.19158060726</v>
      </c>
      <c r="D91" s="400">
        <v>0</v>
      </c>
      <c r="E91" s="401">
        <v>-56541.610617973703</v>
      </c>
      <c r="F91" s="397">
        <v>-434154.80219858099</v>
      </c>
      <c r="G91" s="400">
        <v>-34893</v>
      </c>
      <c r="H91" s="400">
        <v>-2536</v>
      </c>
      <c r="I91" s="400">
        <v>0</v>
      </c>
      <c r="J91" s="402">
        <v>-37429</v>
      </c>
      <c r="K91" s="400">
        <v>241379.99208889384</v>
      </c>
      <c r="L91" s="400">
        <v>61362.620946072515</v>
      </c>
      <c r="M91" s="15">
        <v>302742.61303496634</v>
      </c>
      <c r="N91" s="397">
        <v>0</v>
      </c>
      <c r="P91" s="713">
        <v>-168841.18916361465</v>
      </c>
      <c r="Q91" s="714"/>
      <c r="R91" s="714"/>
      <c r="S91" s="715"/>
      <c r="T91" s="397">
        <v>510476.84222317539</v>
      </c>
      <c r="U91" s="398">
        <v>77751.070698200579</v>
      </c>
      <c r="V91" s="403">
        <v>419386.7237577613</v>
      </c>
      <c r="W91" s="416">
        <v>16156.228075287454</v>
      </c>
      <c r="X91" s="180"/>
      <c r="Y91" s="180"/>
      <c r="Z91" s="15"/>
    </row>
    <row r="92" spans="1:26" x14ac:dyDescent="0.25">
      <c r="A92" s="111">
        <v>5552</v>
      </c>
      <c r="B92" s="119" t="s">
        <v>187</v>
      </c>
      <c r="C92" s="400">
        <v>-668364.13787061616</v>
      </c>
      <c r="D92" s="400">
        <v>0</v>
      </c>
      <c r="E92" s="401">
        <v>116048.9836841592</v>
      </c>
      <c r="F92" s="397">
        <v>-552315.15418645693</v>
      </c>
      <c r="G92" s="400">
        <v>-122336</v>
      </c>
      <c r="H92" s="400">
        <v>-66257</v>
      </c>
      <c r="I92" s="400">
        <v>0</v>
      </c>
      <c r="J92" s="402">
        <v>-188593</v>
      </c>
      <c r="K92" s="400">
        <v>309755.69326996838</v>
      </c>
      <c r="L92" s="400">
        <v>78744.80824828698</v>
      </c>
      <c r="M92" s="15">
        <v>388500.50151825533</v>
      </c>
      <c r="N92" s="397">
        <v>0</v>
      </c>
      <c r="P92" s="713">
        <v>-352407.6526682016</v>
      </c>
      <c r="Q92" s="714"/>
      <c r="R92" s="714"/>
      <c r="S92" s="715"/>
      <c r="T92" s="397">
        <v>655079.59790996846</v>
      </c>
      <c r="U92" s="398">
        <v>99775.613538565376</v>
      </c>
      <c r="V92" s="403">
        <v>402447.55878033221</v>
      </c>
      <c r="W92" s="416">
        <v>20732.802187868881</v>
      </c>
      <c r="X92" s="180"/>
      <c r="Y92" s="180"/>
      <c r="Z92" s="15"/>
    </row>
    <row r="93" spans="1:26" x14ac:dyDescent="0.25">
      <c r="A93" s="111">
        <v>5553</v>
      </c>
      <c r="B93" s="119" t="s">
        <v>188</v>
      </c>
      <c r="C93" s="400">
        <v>-873444.20046912401</v>
      </c>
      <c r="D93" s="400">
        <v>0</v>
      </c>
      <c r="E93" s="401">
        <v>5892.7142455326102</v>
      </c>
      <c r="F93" s="397">
        <v>-867551.48622359138</v>
      </c>
      <c r="G93" s="400">
        <v>0</v>
      </c>
      <c r="H93" s="400">
        <v>0</v>
      </c>
      <c r="I93" s="400">
        <v>0</v>
      </c>
      <c r="J93" s="402">
        <v>0</v>
      </c>
      <c r="K93" s="400">
        <v>474508.55854423501</v>
      </c>
      <c r="L93" s="400">
        <v>124941.76242061533</v>
      </c>
      <c r="M93" s="15">
        <v>599450.32096485037</v>
      </c>
      <c r="N93" s="397">
        <v>-56900</v>
      </c>
      <c r="P93" s="713">
        <v>-325001.16525874101</v>
      </c>
      <c r="Q93" s="714"/>
      <c r="R93" s="714"/>
      <c r="S93" s="715"/>
      <c r="T93" s="397">
        <v>1039392.9620171499</v>
      </c>
      <c r="U93" s="398">
        <v>160088.60029473962</v>
      </c>
      <c r="V93" s="403">
        <v>874480.39705314848</v>
      </c>
      <c r="W93" s="416">
        <v>32896.046138085294</v>
      </c>
      <c r="X93" s="180"/>
      <c r="Y93" s="180"/>
      <c r="Z93" s="15"/>
    </row>
    <row r="94" spans="1:26" x14ac:dyDescent="0.25">
      <c r="A94" s="111">
        <v>5554</v>
      </c>
      <c r="B94" s="119" t="s">
        <v>189</v>
      </c>
      <c r="C94" s="400">
        <v>-830799.34693129652</v>
      </c>
      <c r="D94" s="400">
        <v>0</v>
      </c>
      <c r="E94" s="401">
        <v>-11673.001733021083</v>
      </c>
      <c r="F94" s="397">
        <v>-842472.34866431763</v>
      </c>
      <c r="G94" s="400">
        <v>-35529</v>
      </c>
      <c r="H94" s="400">
        <v>-440</v>
      </c>
      <c r="I94" s="400">
        <v>-10799</v>
      </c>
      <c r="J94" s="402">
        <v>-46768</v>
      </c>
      <c r="K94" s="400">
        <v>463734.60750360641</v>
      </c>
      <c r="L94" s="400">
        <v>119225.47263666561</v>
      </c>
      <c r="M94" s="15">
        <v>582960.08014027204</v>
      </c>
      <c r="N94" s="397">
        <v>-24600</v>
      </c>
      <c r="P94" s="713">
        <v>-330880.26852404559</v>
      </c>
      <c r="Q94" s="714"/>
      <c r="R94" s="714"/>
      <c r="S94" s="715"/>
      <c r="T94" s="397">
        <v>991839.03565035213</v>
      </c>
      <c r="U94" s="398">
        <v>151618.58691218751</v>
      </c>
      <c r="V94" s="403">
        <v>812577.35403849406</v>
      </c>
      <c r="W94" s="416">
        <v>31390.998275558512</v>
      </c>
      <c r="X94" s="180"/>
      <c r="Y94" s="180"/>
      <c r="Z94" s="15"/>
    </row>
    <row r="95" spans="1:26" x14ac:dyDescent="0.25">
      <c r="A95" s="111">
        <v>5555</v>
      </c>
      <c r="B95" s="119" t="s">
        <v>190</v>
      </c>
      <c r="C95" s="400">
        <v>-379832.86468660313</v>
      </c>
      <c r="D95" s="400">
        <v>0</v>
      </c>
      <c r="E95" s="401">
        <v>12841.987875211358</v>
      </c>
      <c r="F95" s="397">
        <v>-366990.87681139179</v>
      </c>
      <c r="G95" s="400">
        <v>-7614</v>
      </c>
      <c r="H95" s="400">
        <v>0</v>
      </c>
      <c r="I95" s="400">
        <v>0</v>
      </c>
      <c r="J95" s="402">
        <v>-7614</v>
      </c>
      <c r="K95" s="400">
        <v>195031.36242923932</v>
      </c>
      <c r="L95" s="400">
        <v>49580.064452625134</v>
      </c>
      <c r="M95" s="15">
        <v>244611.42688186446</v>
      </c>
      <c r="N95" s="397">
        <v>-68700</v>
      </c>
      <c r="P95" s="713">
        <v>-198693.44992952733</v>
      </c>
      <c r="Q95" s="714"/>
      <c r="R95" s="714"/>
      <c r="S95" s="715"/>
      <c r="T95" s="397">
        <v>412457.52460998012</v>
      </c>
      <c r="U95" s="398">
        <v>62821.682598355983</v>
      </c>
      <c r="V95" s="403">
        <v>276585.75727880874</v>
      </c>
      <c r="W95" s="416">
        <v>13053.986562732258</v>
      </c>
      <c r="X95" s="180"/>
      <c r="Y95" s="180"/>
      <c r="Z95" s="15"/>
    </row>
    <row r="96" spans="1:26" x14ac:dyDescent="0.25">
      <c r="A96" s="111">
        <v>5556</v>
      </c>
      <c r="B96" s="119" t="s">
        <v>191</v>
      </c>
      <c r="C96" s="400">
        <v>-449054.81663324789</v>
      </c>
      <c r="D96" s="400">
        <v>0</v>
      </c>
      <c r="E96" s="401">
        <v>-73065.502109194931</v>
      </c>
      <c r="F96" s="397">
        <v>-522120.31874244282</v>
      </c>
      <c r="G96" s="400">
        <v>-35805</v>
      </c>
      <c r="H96" s="400">
        <v>0</v>
      </c>
      <c r="I96" s="400">
        <v>-41667</v>
      </c>
      <c r="J96" s="402">
        <v>-77472</v>
      </c>
      <c r="K96" s="400">
        <v>200079.23298623139</v>
      </c>
      <c r="L96" s="400">
        <v>50863.31317963425</v>
      </c>
      <c r="M96" s="15">
        <v>250942.54616586564</v>
      </c>
      <c r="N96" s="397">
        <v>0</v>
      </c>
      <c r="P96" s="713">
        <v>-348649.77257657726</v>
      </c>
      <c r="Q96" s="714"/>
      <c r="R96" s="714"/>
      <c r="S96" s="715"/>
      <c r="T96" s="397">
        <v>423132.8958351796</v>
      </c>
      <c r="U96" s="398">
        <v>64447.655559725201</v>
      </c>
      <c r="V96" s="403">
        <v>138930.77881832753</v>
      </c>
      <c r="W96" s="416">
        <v>13391.85445023827</v>
      </c>
      <c r="X96" s="180"/>
      <c r="Y96" s="180"/>
      <c r="Z96" s="15"/>
    </row>
    <row r="97" spans="1:26" x14ac:dyDescent="0.25">
      <c r="A97" s="111">
        <v>5557</v>
      </c>
      <c r="B97" s="119" t="s">
        <v>192</v>
      </c>
      <c r="C97" s="400">
        <v>-269909.41552800202</v>
      </c>
      <c r="D97" s="400">
        <v>-1982</v>
      </c>
      <c r="E97" s="401">
        <v>-29006.556536077504</v>
      </c>
      <c r="F97" s="397">
        <v>-300897.97206407954</v>
      </c>
      <c r="G97" s="400">
        <v>-67343</v>
      </c>
      <c r="H97" s="400">
        <v>-261</v>
      </c>
      <c r="I97" s="400">
        <v>-17962</v>
      </c>
      <c r="J97" s="402">
        <v>-85566</v>
      </c>
      <c r="K97" s="400">
        <v>91320.567349220306</v>
      </c>
      <c r="L97" s="400">
        <v>23215.136061346828</v>
      </c>
      <c r="M97" s="15">
        <v>114535.70341056713</v>
      </c>
      <c r="N97" s="397">
        <v>0</v>
      </c>
      <c r="P97" s="713">
        <v>-271928.26865351241</v>
      </c>
      <c r="Q97" s="714"/>
      <c r="R97" s="714"/>
      <c r="S97" s="715"/>
      <c r="T97" s="397">
        <v>193127.17034679069</v>
      </c>
      <c r="U97" s="398">
        <v>29415.329028406686</v>
      </c>
      <c r="V97" s="403">
        <v>-49385.769278315027</v>
      </c>
      <c r="W97" s="416">
        <v>6112.3372376087518</v>
      </c>
      <c r="X97" s="180"/>
      <c r="Y97" s="180"/>
      <c r="Z97" s="15"/>
    </row>
    <row r="98" spans="1:26" x14ac:dyDescent="0.25">
      <c r="A98" s="111">
        <v>5559</v>
      </c>
      <c r="B98" s="119" t="s">
        <v>193</v>
      </c>
      <c r="C98" s="400">
        <v>-141494.06354598375</v>
      </c>
      <c r="D98" s="400">
        <v>0</v>
      </c>
      <c r="E98" s="401">
        <v>-18489.623894771736</v>
      </c>
      <c r="F98" s="397">
        <v>-159983.68744075549</v>
      </c>
      <c r="G98" s="400">
        <v>-12005</v>
      </c>
      <c r="H98" s="400">
        <v>0</v>
      </c>
      <c r="I98" s="400">
        <v>0</v>
      </c>
      <c r="J98" s="402">
        <v>-12005</v>
      </c>
      <c r="K98" s="400">
        <v>210633.87142357847</v>
      </c>
      <c r="L98" s="400">
        <v>53546.469608835141</v>
      </c>
      <c r="M98" s="15">
        <v>264180.34103241359</v>
      </c>
      <c r="N98" s="397">
        <v>0</v>
      </c>
      <c r="P98" s="713">
        <v>92191.653591658105</v>
      </c>
      <c r="Q98" s="714"/>
      <c r="R98" s="714"/>
      <c r="S98" s="715"/>
      <c r="T98" s="397">
        <v>445454.12657877849</v>
      </c>
      <c r="U98" s="398">
        <v>67847.417206224462</v>
      </c>
      <c r="V98" s="403">
        <v>605493.197376661</v>
      </c>
      <c r="W98" s="416">
        <v>14098.305487750838</v>
      </c>
      <c r="X98" s="180"/>
      <c r="Y98" s="180"/>
      <c r="Z98" s="15"/>
    </row>
    <row r="99" spans="1:26" x14ac:dyDescent="0.25">
      <c r="A99" s="111">
        <v>5560</v>
      </c>
      <c r="B99" s="119" t="s">
        <v>194</v>
      </c>
      <c r="C99" s="400">
        <v>-187522.92566058767</v>
      </c>
      <c r="D99" s="400">
        <v>0</v>
      </c>
      <c r="E99" s="401">
        <v>-16752.490573117429</v>
      </c>
      <c r="F99" s="397">
        <v>-204275.41623370509</v>
      </c>
      <c r="G99" s="400">
        <v>-17010</v>
      </c>
      <c r="H99" s="400">
        <v>0</v>
      </c>
      <c r="I99" s="400">
        <v>-3309</v>
      </c>
      <c r="J99" s="402">
        <v>-20319</v>
      </c>
      <c r="K99" s="400">
        <v>108758.6656370111</v>
      </c>
      <c r="L99" s="400">
        <v>27648.177118287425</v>
      </c>
      <c r="M99" s="15">
        <v>136406.84275529854</v>
      </c>
      <c r="N99" s="397">
        <v>0</v>
      </c>
      <c r="P99" s="713">
        <v>-88187.573478406557</v>
      </c>
      <c r="Q99" s="714"/>
      <c r="R99" s="714"/>
      <c r="S99" s="715"/>
      <c r="T99" s="397">
        <v>230005.72548838891</v>
      </c>
      <c r="U99" s="398">
        <v>35032.326531318511</v>
      </c>
      <c r="V99" s="403">
        <v>176850.47854130086</v>
      </c>
      <c r="W99" s="416">
        <v>7279.5172126295183</v>
      </c>
      <c r="X99" s="180"/>
      <c r="Y99" s="180"/>
      <c r="Z99" s="15"/>
    </row>
    <row r="100" spans="1:26" x14ac:dyDescent="0.25">
      <c r="A100" s="111">
        <v>5561</v>
      </c>
      <c r="B100" s="119" t="s">
        <v>195</v>
      </c>
      <c r="C100" s="400">
        <v>-1943762.5200054573</v>
      </c>
      <c r="D100" s="400">
        <v>0</v>
      </c>
      <c r="E100" s="401">
        <v>-139280.49156361021</v>
      </c>
      <c r="F100" s="397">
        <v>-2083043.0115690676</v>
      </c>
      <c r="G100" s="400">
        <v>0</v>
      </c>
      <c r="H100" s="400">
        <v>0</v>
      </c>
      <c r="I100" s="400">
        <v>0</v>
      </c>
      <c r="J100" s="402">
        <v>0</v>
      </c>
      <c r="K100" s="400">
        <v>870758.08764867345</v>
      </c>
      <c r="L100" s="400">
        <v>395007.28996844398</v>
      </c>
      <c r="M100" s="15">
        <v>1265765.3776171175</v>
      </c>
      <c r="N100" s="397">
        <v>-407600</v>
      </c>
      <c r="P100" s="713">
        <v>-1224877.6339519501</v>
      </c>
      <c r="Q100" s="714"/>
      <c r="R100" s="714"/>
      <c r="S100" s="715"/>
      <c r="T100" s="397">
        <v>3286073.3607750414</v>
      </c>
      <c r="U100" s="398">
        <v>565086.56486278842</v>
      </c>
      <c r="V100" s="403">
        <v>2626282.2916858797</v>
      </c>
      <c r="W100" s="416">
        <v>104001.87882685041</v>
      </c>
      <c r="X100" s="180"/>
      <c r="Y100" s="180"/>
      <c r="Z100" s="15"/>
    </row>
    <row r="101" spans="1:26" x14ac:dyDescent="0.25">
      <c r="A101" s="111">
        <v>5562</v>
      </c>
      <c r="B101" s="119" t="s">
        <v>196</v>
      </c>
      <c r="C101" s="400">
        <v>-84590.559169861343</v>
      </c>
      <c r="D101" s="400">
        <v>0</v>
      </c>
      <c r="E101" s="401">
        <v>14466.816553596054</v>
      </c>
      <c r="F101" s="397">
        <v>-70123.742616265285</v>
      </c>
      <c r="G101" s="400">
        <v>-47369</v>
      </c>
      <c r="H101" s="400">
        <v>-23566</v>
      </c>
      <c r="I101" s="400">
        <v>0</v>
      </c>
      <c r="J101" s="402">
        <v>-70935</v>
      </c>
      <c r="K101" s="400">
        <v>61492.241330630757</v>
      </c>
      <c r="L101" s="400">
        <v>15632.302674474748</v>
      </c>
      <c r="M101" s="15">
        <v>77124.544005105505</v>
      </c>
      <c r="N101" s="397">
        <v>0</v>
      </c>
      <c r="P101" s="713">
        <v>-63934.19861115978</v>
      </c>
      <c r="Q101" s="714"/>
      <c r="R101" s="714"/>
      <c r="S101" s="715"/>
      <c r="T101" s="397">
        <v>130045.43128879373</v>
      </c>
      <c r="U101" s="398">
        <v>19807.30698395224</v>
      </c>
      <c r="V101" s="403">
        <v>85918.539661586183</v>
      </c>
      <c r="W101" s="416">
        <v>4115.8451750732302</v>
      </c>
      <c r="X101" s="180"/>
      <c r="Y101" s="180"/>
      <c r="Z101" s="15"/>
    </row>
    <row r="102" spans="1:26" x14ac:dyDescent="0.25">
      <c r="A102" s="111">
        <v>5563</v>
      </c>
      <c r="B102" s="119" t="s">
        <v>77</v>
      </c>
      <c r="C102" s="400">
        <v>-220465.80282400624</v>
      </c>
      <c r="D102" s="400">
        <v>-7394</v>
      </c>
      <c r="E102" s="401">
        <v>-16333.08843081024</v>
      </c>
      <c r="F102" s="397">
        <v>-244192.8912548165</v>
      </c>
      <c r="G102" s="400">
        <v>-21913</v>
      </c>
      <c r="H102" s="400">
        <v>-20672</v>
      </c>
      <c r="I102" s="400">
        <v>-37878</v>
      </c>
      <c r="J102" s="402">
        <v>-80463</v>
      </c>
      <c r="K102" s="400">
        <v>66540.111887622828</v>
      </c>
      <c r="L102" s="400">
        <v>16915.55140148387</v>
      </c>
      <c r="M102" s="15">
        <v>83455.663289106698</v>
      </c>
      <c r="N102" s="397">
        <v>0</v>
      </c>
      <c r="P102" s="713">
        <v>-241200.22796570981</v>
      </c>
      <c r="Q102" s="714"/>
      <c r="R102" s="714"/>
      <c r="S102" s="715"/>
      <c r="T102" s="397">
        <v>140720.80251399323</v>
      </c>
      <c r="U102" s="398">
        <v>21433.279945321454</v>
      </c>
      <c r="V102" s="403">
        <v>-79046.145506395129</v>
      </c>
      <c r="W102" s="416">
        <v>4453.7130625792415</v>
      </c>
      <c r="X102" s="180"/>
      <c r="Y102" s="180"/>
      <c r="Z102" s="15"/>
    </row>
    <row r="103" spans="1:26" x14ac:dyDescent="0.25">
      <c r="A103" s="111">
        <v>5564</v>
      </c>
      <c r="B103" s="119" t="s">
        <v>197</v>
      </c>
      <c r="C103" s="400">
        <v>-144066.04208354585</v>
      </c>
      <c r="D103" s="400">
        <v>-2446</v>
      </c>
      <c r="E103" s="401">
        <v>-14387.345309949274</v>
      </c>
      <c r="F103" s="397">
        <v>-160899.38739349513</v>
      </c>
      <c r="G103" s="400">
        <v>-12854</v>
      </c>
      <c r="H103" s="400">
        <v>0</v>
      </c>
      <c r="I103" s="400">
        <v>-28668</v>
      </c>
      <c r="J103" s="402">
        <v>-41522</v>
      </c>
      <c r="K103" s="400">
        <v>46807.526983017437</v>
      </c>
      <c r="L103" s="400">
        <v>11899.215468630031</v>
      </c>
      <c r="M103" s="15">
        <v>58706.742451647471</v>
      </c>
      <c r="N103" s="397">
        <v>0</v>
      </c>
      <c r="P103" s="713">
        <v>-143714.64494184765</v>
      </c>
      <c r="Q103" s="714"/>
      <c r="R103" s="714"/>
      <c r="S103" s="715"/>
      <c r="T103" s="397">
        <v>98989.805906395224</v>
      </c>
      <c r="U103" s="398">
        <v>15077.203823605436</v>
      </c>
      <c r="V103" s="403">
        <v>-29647.635211846995</v>
      </c>
      <c r="W103" s="416">
        <v>3132.9567750557421</v>
      </c>
      <c r="X103" s="180"/>
      <c r="Y103" s="180"/>
      <c r="Z103" s="15"/>
    </row>
    <row r="104" spans="1:26" x14ac:dyDescent="0.25">
      <c r="A104" s="111">
        <v>5565</v>
      </c>
      <c r="B104" s="119" t="s">
        <v>198</v>
      </c>
      <c r="C104" s="400">
        <v>-155298.30804879134</v>
      </c>
      <c r="D104" s="400">
        <v>0</v>
      </c>
      <c r="E104" s="401">
        <v>-19422.124748575879</v>
      </c>
      <c r="F104" s="397">
        <v>-174720.43279736722</v>
      </c>
      <c r="G104" s="400">
        <v>-13005</v>
      </c>
      <c r="H104" s="400">
        <v>-279</v>
      </c>
      <c r="I104" s="400">
        <v>0</v>
      </c>
      <c r="J104" s="402">
        <v>-13284</v>
      </c>
      <c r="K104" s="400">
        <v>228530.86703473222</v>
      </c>
      <c r="L104" s="400">
        <v>58096.169640958389</v>
      </c>
      <c r="M104" s="15">
        <v>286627.03667569062</v>
      </c>
      <c r="N104" s="397">
        <v>0</v>
      </c>
      <c r="P104" s="713">
        <v>98622.603878323396</v>
      </c>
      <c r="Q104" s="714"/>
      <c r="R104" s="714"/>
      <c r="S104" s="715"/>
      <c r="T104" s="397">
        <v>483303.17001357669</v>
      </c>
      <c r="U104" s="398">
        <v>73612.230432897137</v>
      </c>
      <c r="V104" s="403">
        <v>655538.00432479719</v>
      </c>
      <c r="W104" s="416">
        <v>15296.200725272152</v>
      </c>
      <c r="X104" s="180"/>
      <c r="Y104" s="180"/>
      <c r="Z104" s="15"/>
    </row>
    <row r="105" spans="1:26" x14ac:dyDescent="0.25">
      <c r="A105" s="111">
        <v>5566</v>
      </c>
      <c r="B105" s="119" t="s">
        <v>199</v>
      </c>
      <c r="C105" s="400">
        <v>-561163.52175075235</v>
      </c>
      <c r="D105" s="400">
        <v>-3705</v>
      </c>
      <c r="E105" s="401">
        <v>-18592.798957146559</v>
      </c>
      <c r="F105" s="397">
        <v>-583461.32070789894</v>
      </c>
      <c r="G105" s="400">
        <v>-303771</v>
      </c>
      <c r="H105" s="400">
        <v>-23889</v>
      </c>
      <c r="I105" s="400">
        <v>0</v>
      </c>
      <c r="J105" s="402">
        <v>-327660</v>
      </c>
      <c r="K105" s="400">
        <v>190442.38919561019</v>
      </c>
      <c r="L105" s="400">
        <v>48413.474700798659</v>
      </c>
      <c r="M105" s="15">
        <v>238855.86389640885</v>
      </c>
      <c r="N105" s="397">
        <v>0</v>
      </c>
      <c r="P105" s="713">
        <v>-672265.45681149012</v>
      </c>
      <c r="Q105" s="714"/>
      <c r="R105" s="714"/>
      <c r="S105" s="715"/>
      <c r="T105" s="397">
        <v>402752.6416779806</v>
      </c>
      <c r="U105" s="398">
        <v>61343.525360747604</v>
      </c>
      <c r="V105" s="403">
        <v>-208169.28977276193</v>
      </c>
      <c r="W105" s="416">
        <v>12746.833937726793</v>
      </c>
      <c r="X105" s="180"/>
      <c r="Y105" s="180"/>
      <c r="Z105" s="15"/>
    </row>
    <row r="106" spans="1:26" x14ac:dyDescent="0.25">
      <c r="A106" s="111">
        <v>5568</v>
      </c>
      <c r="B106" s="119" t="s">
        <v>200</v>
      </c>
      <c r="C106" s="400">
        <v>-7396336.464474625</v>
      </c>
      <c r="D106" s="400">
        <v>-186682</v>
      </c>
      <c r="E106" s="401">
        <v>64575.703523982549</v>
      </c>
      <c r="F106" s="397">
        <v>-7518442.7609506426</v>
      </c>
      <c r="G106" s="400">
        <v>0</v>
      </c>
      <c r="H106" s="400">
        <v>-872161</v>
      </c>
      <c r="I106" s="400">
        <v>0</v>
      </c>
      <c r="J106" s="402">
        <v>-872161</v>
      </c>
      <c r="K106" s="400">
        <v>750445.27644852223</v>
      </c>
      <c r="L106" s="400">
        <v>589244.48364755185</v>
      </c>
      <c r="M106" s="15">
        <v>1339689.7600960741</v>
      </c>
      <c r="N106" s="397">
        <v>0</v>
      </c>
      <c r="P106" s="713">
        <v>-7050914.0008545695</v>
      </c>
      <c r="Q106" s="714"/>
      <c r="R106" s="714"/>
      <c r="S106" s="715"/>
      <c r="T106" s="397">
        <v>4901936.3689529635</v>
      </c>
      <c r="U106" s="398">
        <v>874379.93436943693</v>
      </c>
      <c r="V106" s="403">
        <v>-1274597.6975321691</v>
      </c>
      <c r="W106" s="416">
        <v>155142.79089026034</v>
      </c>
      <c r="X106" s="180"/>
      <c r="Y106" s="180"/>
      <c r="Z106" s="15"/>
    </row>
    <row r="107" spans="1:26" x14ac:dyDescent="0.25">
      <c r="A107" s="111">
        <v>5571</v>
      </c>
      <c r="B107" s="119" t="s">
        <v>201</v>
      </c>
      <c r="C107" s="400">
        <v>-865956.27259204467</v>
      </c>
      <c r="D107" s="400">
        <v>0</v>
      </c>
      <c r="E107" s="401">
        <v>-11803.561501040414</v>
      </c>
      <c r="F107" s="397">
        <v>-877759.83409308502</v>
      </c>
      <c r="G107" s="400">
        <v>-79948</v>
      </c>
      <c r="H107" s="400">
        <v>-85199</v>
      </c>
      <c r="I107" s="400">
        <v>-62119</v>
      </c>
      <c r="J107" s="402">
        <v>-227266</v>
      </c>
      <c r="K107" s="400">
        <v>396946.1847089224</v>
      </c>
      <c r="L107" s="400">
        <v>100910.01353298998</v>
      </c>
      <c r="M107" s="15">
        <v>497856.19824191241</v>
      </c>
      <c r="N107" s="397">
        <v>0</v>
      </c>
      <c r="P107" s="713">
        <v>-607169.63585117261</v>
      </c>
      <c r="Q107" s="714"/>
      <c r="R107" s="714"/>
      <c r="S107" s="715"/>
      <c r="T107" s="397">
        <v>839472.37361795956</v>
      </c>
      <c r="U107" s="398">
        <v>127860.60105312453</v>
      </c>
      <c r="V107" s="403">
        <v>360163.33881991147</v>
      </c>
      <c r="W107" s="416">
        <v>26568.702062972716</v>
      </c>
      <c r="X107" s="180"/>
      <c r="Y107" s="180"/>
      <c r="Z107" s="15"/>
    </row>
    <row r="108" spans="1:26" x14ac:dyDescent="0.25">
      <c r="A108" s="111">
        <v>5581</v>
      </c>
      <c r="B108" s="119" t="s">
        <v>202</v>
      </c>
      <c r="C108" s="400">
        <v>1519797.8014436141</v>
      </c>
      <c r="D108" s="400">
        <v>0</v>
      </c>
      <c r="E108" s="401">
        <v>-109910.46311335661</v>
      </c>
      <c r="F108" s="397">
        <v>1409887.3383302575</v>
      </c>
      <c r="G108" s="400">
        <v>0</v>
      </c>
      <c r="H108" s="400">
        <v>-44716</v>
      </c>
      <c r="I108" s="400">
        <v>0</v>
      </c>
      <c r="J108" s="402">
        <v>-44716</v>
      </c>
      <c r="K108" s="400">
        <v>833905.51484862715</v>
      </c>
      <c r="L108" s="400">
        <v>-524522.95068840589</v>
      </c>
      <c r="M108" s="15">
        <v>309382.56416022126</v>
      </c>
      <c r="N108" s="397">
        <v>0</v>
      </c>
      <c r="P108" s="713">
        <v>1674553.9024904787</v>
      </c>
      <c r="Q108" s="714"/>
      <c r="R108" s="714"/>
      <c r="S108" s="715"/>
      <c r="T108" s="397">
        <v>3781022.3903070176</v>
      </c>
      <c r="U108" s="398">
        <v>119666.66270212912</v>
      </c>
      <c r="V108" s="403">
        <v>5575242.9554996258</v>
      </c>
      <c r="W108" s="416">
        <v>119666.66270212912</v>
      </c>
      <c r="X108" s="180"/>
      <c r="Y108" s="180"/>
      <c r="Z108" s="15"/>
    </row>
    <row r="109" spans="1:26" x14ac:dyDescent="0.25">
      <c r="A109" s="111">
        <v>5582</v>
      </c>
      <c r="B109" s="119" t="s">
        <v>203</v>
      </c>
      <c r="C109" s="400">
        <v>-2984438.1758346856</v>
      </c>
      <c r="D109" s="400">
        <v>0</v>
      </c>
      <c r="E109" s="401">
        <v>-429176.60677229788</v>
      </c>
      <c r="F109" s="397">
        <v>-3413614.7826069836</v>
      </c>
      <c r="G109" s="400">
        <v>0</v>
      </c>
      <c r="H109" s="400">
        <v>0</v>
      </c>
      <c r="I109" s="400">
        <v>0</v>
      </c>
      <c r="J109" s="402">
        <v>0</v>
      </c>
      <c r="K109" s="400">
        <v>765547.60530187422</v>
      </c>
      <c r="L109" s="400">
        <v>564862.75783437851</v>
      </c>
      <c r="M109" s="15">
        <v>1330410.3631362529</v>
      </c>
      <c r="N109" s="397">
        <v>0</v>
      </c>
      <c r="P109" s="713">
        <v>-2083204.4194707307</v>
      </c>
      <c r="Q109" s="714"/>
      <c r="R109" s="714"/>
      <c r="S109" s="715"/>
      <c r="T109" s="397">
        <v>4699104.3156741736</v>
      </c>
      <c r="U109" s="398">
        <v>834997.31444436312</v>
      </c>
      <c r="V109" s="403">
        <v>3450897.2106478061</v>
      </c>
      <c r="W109" s="416">
        <v>148723.30102764611</v>
      </c>
      <c r="X109" s="180"/>
      <c r="Y109" s="180"/>
      <c r="Z109" s="15"/>
    </row>
    <row r="110" spans="1:26" x14ac:dyDescent="0.25">
      <c r="A110" s="111">
        <v>5583</v>
      </c>
      <c r="B110" s="119" t="s">
        <v>204</v>
      </c>
      <c r="C110" s="400">
        <v>-4670297.0556167504</v>
      </c>
      <c r="D110" s="400">
        <v>0</v>
      </c>
      <c r="E110" s="401">
        <v>262041.8250402268</v>
      </c>
      <c r="F110" s="397">
        <v>-4408255.2305765236</v>
      </c>
      <c r="G110" s="400">
        <v>0</v>
      </c>
      <c r="H110" s="400">
        <v>0</v>
      </c>
      <c r="I110" s="400">
        <v>0</v>
      </c>
      <c r="J110" s="402">
        <v>0</v>
      </c>
      <c r="K110" s="400">
        <v>441461.74450146686</v>
      </c>
      <c r="L110" s="400">
        <v>-2149312.5236739493</v>
      </c>
      <c r="M110" s="15">
        <v>-1707850.7791724824</v>
      </c>
      <c r="N110" s="397">
        <v>0</v>
      </c>
      <c r="P110" s="713">
        <v>-6116106.0097490065</v>
      </c>
      <c r="Q110" s="714"/>
      <c r="R110" s="714"/>
      <c r="S110" s="715"/>
      <c r="T110" s="397">
        <v>9051744.3106759638</v>
      </c>
      <c r="U110" s="398">
        <v>286481.25334259711</v>
      </c>
      <c r="V110" s="403">
        <v>3222119.5542695546</v>
      </c>
      <c r="W110" s="416">
        <v>286481.25334259711</v>
      </c>
      <c r="X110" s="180"/>
      <c r="Y110" s="180"/>
      <c r="Z110" s="15"/>
    </row>
    <row r="111" spans="1:26" x14ac:dyDescent="0.25">
      <c r="A111" s="111">
        <v>5584</v>
      </c>
      <c r="B111" s="119" t="s">
        <v>205</v>
      </c>
      <c r="C111" s="400">
        <v>1732355.0001846864</v>
      </c>
      <c r="D111" s="400">
        <v>0</v>
      </c>
      <c r="E111" s="401">
        <v>-126841.40413330705</v>
      </c>
      <c r="F111" s="397">
        <v>1605513.5960513793</v>
      </c>
      <c r="G111" s="400">
        <v>0</v>
      </c>
      <c r="H111" s="400">
        <v>-671052</v>
      </c>
      <c r="I111" s="400">
        <v>0</v>
      </c>
      <c r="J111" s="402">
        <v>-671052</v>
      </c>
      <c r="K111" s="400">
        <v>399334.19559474662</v>
      </c>
      <c r="L111" s="400">
        <v>-1399792.1779399645</v>
      </c>
      <c r="M111" s="15">
        <v>-1000457.9823452178</v>
      </c>
      <c r="N111" s="397">
        <v>-334500</v>
      </c>
      <c r="P111" s="713">
        <v>-400496.3862938385</v>
      </c>
      <c r="Q111" s="714"/>
      <c r="R111" s="714"/>
      <c r="S111" s="715"/>
      <c r="T111" s="397">
        <v>9617538.9856115356</v>
      </c>
      <c r="U111" s="398">
        <v>1835971.7010163674</v>
      </c>
      <c r="V111" s="403">
        <v>11053014.300334066</v>
      </c>
      <c r="W111" s="416">
        <v>304388.25138041575</v>
      </c>
      <c r="X111" s="180"/>
      <c r="Y111" s="180"/>
      <c r="Z111" s="15"/>
    </row>
    <row r="112" spans="1:26" x14ac:dyDescent="0.25">
      <c r="A112" s="111">
        <v>5585</v>
      </c>
      <c r="B112" s="119" t="s">
        <v>206</v>
      </c>
      <c r="C112" s="400">
        <v>9582221.4014539123</v>
      </c>
      <c r="D112" s="400">
        <v>0</v>
      </c>
      <c r="E112" s="401">
        <v>80663.237571036676</v>
      </c>
      <c r="F112" s="397">
        <v>9662884.6390249487</v>
      </c>
      <c r="G112" s="400">
        <v>0</v>
      </c>
      <c r="H112" s="400">
        <v>0</v>
      </c>
      <c r="I112" s="400">
        <v>0</v>
      </c>
      <c r="J112" s="402">
        <v>0</v>
      </c>
      <c r="K112" s="400">
        <v>567296.4634247506</v>
      </c>
      <c r="L112" s="400">
        <v>174171.84994769251</v>
      </c>
      <c r="M112" s="15">
        <v>741468.31337244308</v>
      </c>
      <c r="N112" s="397">
        <v>0</v>
      </c>
      <c r="P112" s="713">
        <v>10404352.952397391</v>
      </c>
      <c r="Q112" s="714"/>
      <c r="R112" s="714"/>
      <c r="S112" s="715"/>
      <c r="T112" s="397">
        <v>1448939.0217475302</v>
      </c>
      <c r="U112" s="398">
        <v>233034.4298342698</v>
      </c>
      <c r="V112" s="403">
        <v>12086326.40397919</v>
      </c>
      <c r="W112" s="416">
        <v>45857.88691331591</v>
      </c>
      <c r="X112" s="180"/>
      <c r="Y112" s="180"/>
      <c r="Z112" s="15"/>
    </row>
    <row r="113" spans="1:26" x14ac:dyDescent="0.25">
      <c r="A113" s="111">
        <v>5586</v>
      </c>
      <c r="B113" s="119" t="s">
        <v>69</v>
      </c>
      <c r="C113" s="400">
        <v>945104.97744790569</v>
      </c>
      <c r="D113" s="400">
        <v>0</v>
      </c>
      <c r="E113" s="401">
        <v>-5734541.0371649675</v>
      </c>
      <c r="F113" s="397">
        <v>-4789436.0597170619</v>
      </c>
      <c r="G113" s="400">
        <v>0</v>
      </c>
      <c r="H113" s="400">
        <v>-247174</v>
      </c>
      <c r="I113" s="400">
        <v>0</v>
      </c>
      <c r="J113" s="402">
        <v>-247174</v>
      </c>
      <c r="K113" s="400">
        <v>-80270091.325175539</v>
      </c>
      <c r="L113" s="400">
        <v>-24571624.076466016</v>
      </c>
      <c r="M113" s="15">
        <v>-104841715.40164155</v>
      </c>
      <c r="N113" s="397">
        <v>0</v>
      </c>
      <c r="P113" s="713">
        <v>-109878325.46135861</v>
      </c>
      <c r="Q113" s="714"/>
      <c r="R113" s="714"/>
      <c r="S113" s="715"/>
      <c r="T113" s="397">
        <v>140104542.44781125</v>
      </c>
      <c r="U113" s="398">
        <v>4434208.8708913941</v>
      </c>
      <c r="V113" s="403">
        <v>34660425.857344031</v>
      </c>
      <c r="W113" s="416">
        <v>4434208.8708913941</v>
      </c>
      <c r="X113" s="180"/>
      <c r="Y113" s="180"/>
      <c r="Z113" s="15"/>
    </row>
    <row r="114" spans="1:26" x14ac:dyDescent="0.25">
      <c r="A114" s="111">
        <v>5587</v>
      </c>
      <c r="B114" s="119" t="s">
        <v>70</v>
      </c>
      <c r="C114" s="400">
        <v>2359970.4558695354</v>
      </c>
      <c r="D114" s="400">
        <v>0</v>
      </c>
      <c r="E114" s="401">
        <v>493884.82132872986</v>
      </c>
      <c r="F114" s="397">
        <v>2853855.2771982653</v>
      </c>
      <c r="G114" s="400">
        <v>0</v>
      </c>
      <c r="H114" s="400">
        <v>-30791</v>
      </c>
      <c r="I114" s="400">
        <v>0</v>
      </c>
      <c r="J114" s="402">
        <v>-30791</v>
      </c>
      <c r="K114" s="400">
        <v>445291.52167480532</v>
      </c>
      <c r="L114" s="400">
        <v>-760570.33615612844</v>
      </c>
      <c r="M114" s="15">
        <v>-315278.81448132312</v>
      </c>
      <c r="N114" s="397">
        <v>-582300</v>
      </c>
      <c r="P114" s="713">
        <v>1925485.4627169422</v>
      </c>
      <c r="Q114" s="714"/>
      <c r="R114" s="714"/>
      <c r="S114" s="715"/>
      <c r="T114" s="397">
        <v>9000308.431136366</v>
      </c>
      <c r="U114" s="398">
        <v>1710107.8682138468</v>
      </c>
      <c r="V114" s="403">
        <v>12635901.762067156</v>
      </c>
      <c r="W114" s="416">
        <v>284853.34443006816</v>
      </c>
      <c r="X114" s="180"/>
      <c r="Y114" s="180"/>
      <c r="Z114" s="15"/>
    </row>
    <row r="115" spans="1:26" x14ac:dyDescent="0.25">
      <c r="A115" s="111">
        <v>5588</v>
      </c>
      <c r="B115" s="119" t="s">
        <v>207</v>
      </c>
      <c r="C115" s="400">
        <v>2616010.9239961826</v>
      </c>
      <c r="D115" s="400">
        <v>0</v>
      </c>
      <c r="E115" s="401">
        <v>12596.325816647208</v>
      </c>
      <c r="F115" s="397">
        <v>2628607.2498128298</v>
      </c>
      <c r="G115" s="400">
        <v>0</v>
      </c>
      <c r="H115" s="400">
        <v>0</v>
      </c>
      <c r="I115" s="400">
        <v>0</v>
      </c>
      <c r="J115" s="402">
        <v>0</v>
      </c>
      <c r="K115" s="400">
        <v>577190.90825798095</v>
      </c>
      <c r="L115" s="400">
        <v>-193133.89816908829</v>
      </c>
      <c r="M115" s="15">
        <v>384057.01008889265</v>
      </c>
      <c r="N115" s="397">
        <v>0</v>
      </c>
      <c r="P115" s="713">
        <v>3012664.2599017224</v>
      </c>
      <c r="Q115" s="714"/>
      <c r="R115" s="714"/>
      <c r="S115" s="715"/>
      <c r="T115" s="397">
        <v>1492610.994941528</v>
      </c>
      <c r="U115" s="398">
        <v>47240.073725840506</v>
      </c>
      <c r="V115" s="403">
        <v>4552515.32856909</v>
      </c>
      <c r="W115" s="416">
        <v>47240.073725840506</v>
      </c>
      <c r="X115" s="180"/>
      <c r="Y115" s="180"/>
      <c r="Z115" s="15"/>
    </row>
    <row r="116" spans="1:26" x14ac:dyDescent="0.25">
      <c r="A116" s="111">
        <v>5589</v>
      </c>
      <c r="B116" s="119" t="s">
        <v>208</v>
      </c>
      <c r="C116" s="400">
        <v>-8140578.2159082014</v>
      </c>
      <c r="D116" s="400">
        <v>0</v>
      </c>
      <c r="E116" s="401">
        <v>-366582.04872999038</v>
      </c>
      <c r="F116" s="397">
        <v>-8507160.2646381911</v>
      </c>
      <c r="G116" s="400">
        <v>0</v>
      </c>
      <c r="H116" s="400">
        <v>0</v>
      </c>
      <c r="I116" s="400">
        <v>0</v>
      </c>
      <c r="J116" s="402">
        <v>0</v>
      </c>
      <c r="K116" s="400">
        <v>41705.259317245334</v>
      </c>
      <c r="L116" s="400">
        <v>-1211890.6707665084</v>
      </c>
      <c r="M116" s="15">
        <v>-1170185.4114492631</v>
      </c>
      <c r="N116" s="397">
        <v>-14300</v>
      </c>
      <c r="P116" s="713">
        <v>-9691645.676087454</v>
      </c>
      <c r="Q116" s="714"/>
      <c r="R116" s="714"/>
      <c r="S116" s="715"/>
      <c r="T116" s="397">
        <v>12071903.879114218</v>
      </c>
      <c r="U116" s="398">
        <v>382067.15024429781</v>
      </c>
      <c r="V116" s="403">
        <v>2762325.353271062</v>
      </c>
      <c r="W116" s="416">
        <v>382067.15024429781</v>
      </c>
      <c r="X116" s="180"/>
      <c r="Y116" s="180"/>
      <c r="Z116" s="15"/>
    </row>
    <row r="117" spans="1:26" x14ac:dyDescent="0.25">
      <c r="A117" s="111">
        <v>5590</v>
      </c>
      <c r="B117" s="119" t="s">
        <v>209</v>
      </c>
      <c r="C117" s="400">
        <v>35578149.462504394</v>
      </c>
      <c r="D117" s="400">
        <v>0</v>
      </c>
      <c r="E117" s="401">
        <v>1814252.8000843027</v>
      </c>
      <c r="F117" s="397">
        <v>37392402.262588695</v>
      </c>
      <c r="G117" s="400">
        <v>0</v>
      </c>
      <c r="H117" s="400">
        <v>-4623</v>
      </c>
      <c r="I117" s="400">
        <v>0</v>
      </c>
      <c r="J117" s="402">
        <v>-4623</v>
      </c>
      <c r="K117" s="400">
        <v>-3414622.8958789464</v>
      </c>
      <c r="L117" s="400">
        <v>-4274298.1469252706</v>
      </c>
      <c r="M117" s="15">
        <v>-7688921.042804217</v>
      </c>
      <c r="N117" s="397">
        <v>0</v>
      </c>
      <c r="P117" s="713">
        <v>29698858.219784476</v>
      </c>
      <c r="Q117" s="714"/>
      <c r="R117" s="714"/>
      <c r="S117" s="715"/>
      <c r="T117" s="397">
        <v>18728483.082172696</v>
      </c>
      <c r="U117" s="398">
        <v>592743.13573554612</v>
      </c>
      <c r="V117" s="403">
        <v>49020084.437692724</v>
      </c>
      <c r="W117" s="416">
        <v>592743.13573554612</v>
      </c>
      <c r="X117" s="180"/>
      <c r="Y117" s="180"/>
      <c r="Z117" s="15"/>
    </row>
    <row r="118" spans="1:26" x14ac:dyDescent="0.25">
      <c r="A118" s="111">
        <v>5591</v>
      </c>
      <c r="B118" s="119" t="s">
        <v>210</v>
      </c>
      <c r="C118" s="400">
        <v>-21171483.518598866</v>
      </c>
      <c r="D118" s="400">
        <v>0</v>
      </c>
      <c r="E118" s="401">
        <v>-587126.7186605013</v>
      </c>
      <c r="F118" s="397">
        <v>-21758610.237259366</v>
      </c>
      <c r="G118" s="400">
        <v>0</v>
      </c>
      <c r="H118" s="400">
        <v>0</v>
      </c>
      <c r="I118" s="400">
        <v>0</v>
      </c>
      <c r="J118" s="402">
        <v>0</v>
      </c>
      <c r="K118" s="400">
        <v>-4550099.0774631593</v>
      </c>
      <c r="L118" s="400">
        <v>-3391175.7758212509</v>
      </c>
      <c r="M118" s="15">
        <v>-7941274.8532844102</v>
      </c>
      <c r="N118" s="397">
        <v>-86300</v>
      </c>
      <c r="P118" s="713">
        <v>-29786185.090543777</v>
      </c>
      <c r="Q118" s="714"/>
      <c r="R118" s="714"/>
      <c r="S118" s="715"/>
      <c r="T118" s="397">
        <v>20832501.701830197</v>
      </c>
      <c r="U118" s="398">
        <v>659333.82483673096</v>
      </c>
      <c r="V118" s="403">
        <v>-8294349.5638768487</v>
      </c>
      <c r="W118" s="416">
        <v>659333.82483673096</v>
      </c>
      <c r="X118" s="180"/>
      <c r="Y118" s="180"/>
      <c r="Z118" s="15"/>
    </row>
    <row r="119" spans="1:26" x14ac:dyDescent="0.25">
      <c r="A119" s="111">
        <v>5592</v>
      </c>
      <c r="B119" s="119" t="s">
        <v>211</v>
      </c>
      <c r="C119" s="400">
        <v>-3111105.1040927391</v>
      </c>
      <c r="D119" s="400">
        <v>0</v>
      </c>
      <c r="E119" s="401">
        <v>-240587.3725227206</v>
      </c>
      <c r="F119" s="397">
        <v>-3351692.4766154597</v>
      </c>
      <c r="G119" s="400">
        <v>0</v>
      </c>
      <c r="H119" s="400">
        <v>0</v>
      </c>
      <c r="I119" s="400">
        <v>0</v>
      </c>
      <c r="J119" s="402">
        <v>0</v>
      </c>
      <c r="K119" s="400">
        <v>826968.55996861821</v>
      </c>
      <c r="L119" s="400">
        <v>465702.62892912829</v>
      </c>
      <c r="M119" s="15">
        <v>1292671.1888977466</v>
      </c>
      <c r="N119" s="397">
        <v>0</v>
      </c>
      <c r="P119" s="713">
        <v>-2059021.287717713</v>
      </c>
      <c r="Q119" s="714"/>
      <c r="R119" s="714"/>
      <c r="S119" s="715"/>
      <c r="T119" s="397">
        <v>3874189.2664542133</v>
      </c>
      <c r="U119" s="398">
        <v>677425.79168039444</v>
      </c>
      <c r="V119" s="403">
        <v>2492593.7704168949</v>
      </c>
      <c r="W119" s="416">
        <v>122615.32790218158</v>
      </c>
      <c r="X119" s="180"/>
      <c r="Y119" s="180"/>
      <c r="Z119" s="15"/>
    </row>
    <row r="120" spans="1:26" x14ac:dyDescent="0.25">
      <c r="A120" s="111">
        <v>5601</v>
      </c>
      <c r="B120" s="119" t="s">
        <v>212</v>
      </c>
      <c r="C120" s="400">
        <v>-363825.17717109132</v>
      </c>
      <c r="D120" s="400">
        <v>0</v>
      </c>
      <c r="E120" s="401">
        <v>-201890.1263841851</v>
      </c>
      <c r="F120" s="397">
        <v>-565715.30355527648</v>
      </c>
      <c r="G120" s="400">
        <v>0</v>
      </c>
      <c r="H120" s="400">
        <v>0</v>
      </c>
      <c r="I120" s="400">
        <v>0</v>
      </c>
      <c r="J120" s="402">
        <v>0</v>
      </c>
      <c r="K120" s="400">
        <v>729345.48213787831</v>
      </c>
      <c r="L120" s="400">
        <v>260149.51465730363</v>
      </c>
      <c r="M120" s="15">
        <v>989494.99679518188</v>
      </c>
      <c r="N120" s="397">
        <v>0</v>
      </c>
      <c r="P120" s="713">
        <v>423779.69323990541</v>
      </c>
      <c r="Q120" s="714"/>
      <c r="R120" s="714"/>
      <c r="S120" s="715"/>
      <c r="T120" s="397">
        <v>2164188.8938358957</v>
      </c>
      <c r="U120" s="398">
        <v>68495.035376218671</v>
      </c>
      <c r="V120" s="403">
        <v>2656463.6224520197</v>
      </c>
      <c r="W120" s="416">
        <v>68495.035376218671</v>
      </c>
      <c r="X120" s="180"/>
      <c r="Y120" s="180"/>
      <c r="Z120" s="15"/>
    </row>
    <row r="121" spans="1:26" x14ac:dyDescent="0.25">
      <c r="A121" s="111">
        <v>5604</v>
      </c>
      <c r="B121" s="119" t="s">
        <v>213</v>
      </c>
      <c r="C121" s="400">
        <v>-1340533.5283932381</v>
      </c>
      <c r="D121" s="400">
        <v>0</v>
      </c>
      <c r="E121" s="401">
        <v>-198791.26206838331</v>
      </c>
      <c r="F121" s="397">
        <v>-1539324.7904616215</v>
      </c>
      <c r="G121" s="400">
        <v>-23698</v>
      </c>
      <c r="H121" s="400">
        <v>-30230</v>
      </c>
      <c r="I121" s="400">
        <v>-6372</v>
      </c>
      <c r="J121" s="402">
        <v>-60300</v>
      </c>
      <c r="K121" s="400">
        <v>693725.48073824937</v>
      </c>
      <c r="L121" s="400">
        <v>241250.76067771474</v>
      </c>
      <c r="M121" s="15">
        <v>934976.24141596409</v>
      </c>
      <c r="N121" s="397">
        <v>-49200</v>
      </c>
      <c r="P121" s="713">
        <v>-713848.54904565739</v>
      </c>
      <c r="Q121" s="714"/>
      <c r="R121" s="714"/>
      <c r="S121" s="715"/>
      <c r="T121" s="397">
        <v>2006969.7903375032</v>
      </c>
      <c r="U121" s="398">
        <v>332427.44401727902</v>
      </c>
      <c r="V121" s="403">
        <v>1625548.6853091246</v>
      </c>
      <c r="W121" s="416">
        <v>63519.162851130146</v>
      </c>
      <c r="X121" s="180"/>
      <c r="Y121" s="180"/>
      <c r="Z121" s="15"/>
    </row>
    <row r="122" spans="1:26" x14ac:dyDescent="0.25">
      <c r="A122" s="111">
        <v>5606</v>
      </c>
      <c r="B122" s="119" t="s">
        <v>214</v>
      </c>
      <c r="C122" s="400">
        <v>24743687.285956759</v>
      </c>
      <c r="D122" s="400">
        <v>0</v>
      </c>
      <c r="E122" s="401">
        <v>2231136.8212136044</v>
      </c>
      <c r="F122" s="397">
        <v>26974824.107170362</v>
      </c>
      <c r="G122" s="400">
        <v>0</v>
      </c>
      <c r="H122" s="400">
        <v>-7761</v>
      </c>
      <c r="I122" s="400">
        <v>0</v>
      </c>
      <c r="J122" s="402">
        <v>-7761</v>
      </c>
      <c r="K122" s="400">
        <v>335311.88284800015</v>
      </c>
      <c r="L122" s="400">
        <v>-1540079.8999281391</v>
      </c>
      <c r="M122" s="15">
        <v>-1204768.0170801389</v>
      </c>
      <c r="N122" s="397">
        <v>0</v>
      </c>
      <c r="P122" s="713">
        <v>25762295.090090223</v>
      </c>
      <c r="Q122" s="714"/>
      <c r="R122" s="714"/>
      <c r="S122" s="715"/>
      <c r="T122" s="397">
        <v>10477391.613386694</v>
      </c>
      <c r="U122" s="398">
        <v>331601.97395589988</v>
      </c>
      <c r="V122" s="403">
        <v>36571288.67743282</v>
      </c>
      <c r="W122" s="416">
        <v>331601.97395589988</v>
      </c>
      <c r="X122" s="180"/>
      <c r="Y122" s="180"/>
      <c r="Z122" s="15"/>
    </row>
    <row r="123" spans="1:26" x14ac:dyDescent="0.25">
      <c r="A123" s="111">
        <v>5607</v>
      </c>
      <c r="B123" s="119" t="s">
        <v>215</v>
      </c>
      <c r="C123" s="400">
        <v>-628749.41229055997</v>
      </c>
      <c r="D123" s="400">
        <v>0</v>
      </c>
      <c r="E123" s="401">
        <v>67327.962906203815</v>
      </c>
      <c r="F123" s="397">
        <v>-561421.44938435615</v>
      </c>
      <c r="G123" s="400">
        <v>0</v>
      </c>
      <c r="H123" s="400">
        <v>-12635</v>
      </c>
      <c r="I123" s="400">
        <v>0</v>
      </c>
      <c r="J123" s="402">
        <v>-12635</v>
      </c>
      <c r="K123" s="400">
        <v>897783.30770204077</v>
      </c>
      <c r="L123" s="400">
        <v>351376.83325013384</v>
      </c>
      <c r="M123" s="15">
        <v>1249160.1409521746</v>
      </c>
      <c r="N123" s="397">
        <v>-262100</v>
      </c>
      <c r="P123" s="713">
        <v>413003.6915678184</v>
      </c>
      <c r="Q123" s="714"/>
      <c r="R123" s="714"/>
      <c r="S123" s="715"/>
      <c r="T123" s="397">
        <v>2923110.7391182589</v>
      </c>
      <c r="U123" s="398">
        <v>92514.370651646022</v>
      </c>
      <c r="V123" s="403">
        <v>3428628.8013377232</v>
      </c>
      <c r="W123" s="416">
        <v>92514.370651646022</v>
      </c>
      <c r="X123" s="180"/>
      <c r="Y123" s="180"/>
      <c r="Z123" s="15"/>
    </row>
    <row r="124" spans="1:26" x14ac:dyDescent="0.25">
      <c r="A124" s="111">
        <v>5609</v>
      </c>
      <c r="B124" s="119" t="s">
        <v>216</v>
      </c>
      <c r="C124" s="400">
        <v>-108715.1751737884</v>
      </c>
      <c r="D124" s="400">
        <v>0</v>
      </c>
      <c r="E124" s="401">
        <v>-54274.997265131991</v>
      </c>
      <c r="F124" s="397">
        <v>-162990.17243892039</v>
      </c>
      <c r="G124" s="400">
        <v>0</v>
      </c>
      <c r="H124" s="400">
        <v>0</v>
      </c>
      <c r="I124" s="400">
        <v>0</v>
      </c>
      <c r="J124" s="402">
        <v>0</v>
      </c>
      <c r="K124" s="400">
        <v>149600.52741631065</v>
      </c>
      <c r="L124" s="400">
        <v>38030.82590954304</v>
      </c>
      <c r="M124" s="15">
        <v>187631.35332585371</v>
      </c>
      <c r="N124" s="397">
        <v>0</v>
      </c>
      <c r="P124" s="713">
        <v>24641.180886933318</v>
      </c>
      <c r="Q124" s="714"/>
      <c r="R124" s="714"/>
      <c r="S124" s="715"/>
      <c r="T124" s="397">
        <v>316379.18358318473</v>
      </c>
      <c r="U124" s="398">
        <v>10013.175575178157</v>
      </c>
      <c r="V124" s="403">
        <v>351033.54004529625</v>
      </c>
      <c r="W124" s="416">
        <v>10013.175575178157</v>
      </c>
      <c r="X124" s="180"/>
      <c r="Y124" s="180"/>
      <c r="Z124" s="15"/>
    </row>
    <row r="125" spans="1:26" x14ac:dyDescent="0.25">
      <c r="A125" s="111">
        <v>5610</v>
      </c>
      <c r="B125" s="119" t="s">
        <v>217</v>
      </c>
      <c r="C125" s="400">
        <v>19498.49187418594</v>
      </c>
      <c r="D125" s="400">
        <v>0</v>
      </c>
      <c r="E125" s="401">
        <v>-55365.515354805546</v>
      </c>
      <c r="F125" s="397">
        <v>-35867.023480619609</v>
      </c>
      <c r="G125" s="400">
        <v>0</v>
      </c>
      <c r="H125" s="400">
        <v>0</v>
      </c>
      <c r="I125" s="400">
        <v>0</v>
      </c>
      <c r="J125" s="402">
        <v>0</v>
      </c>
      <c r="K125" s="400">
        <v>179428.85343490017</v>
      </c>
      <c r="L125" s="400">
        <v>45613.65929641512</v>
      </c>
      <c r="M125" s="15">
        <v>225042.51273131528</v>
      </c>
      <c r="N125" s="397">
        <v>-5300</v>
      </c>
      <c r="P125" s="713">
        <v>183875.48925069568</v>
      </c>
      <c r="Q125" s="714"/>
      <c r="R125" s="714"/>
      <c r="S125" s="715"/>
      <c r="T125" s="397">
        <v>379460.92264118168</v>
      </c>
      <c r="U125" s="398">
        <v>12009.667637713677</v>
      </c>
      <c r="V125" s="403">
        <v>575346.07952959114</v>
      </c>
      <c r="W125" s="416">
        <v>12009.667637713677</v>
      </c>
      <c r="X125" s="180"/>
      <c r="Y125" s="180"/>
      <c r="Z125" s="15"/>
    </row>
    <row r="126" spans="1:26" x14ac:dyDescent="0.25">
      <c r="A126" s="111">
        <v>5611</v>
      </c>
      <c r="B126" s="119" t="s">
        <v>218</v>
      </c>
      <c r="C126" s="400">
        <v>-1279877.8322151119</v>
      </c>
      <c r="D126" s="400">
        <v>0</v>
      </c>
      <c r="E126" s="401">
        <v>71955.375797008979</v>
      </c>
      <c r="F126" s="397">
        <v>-1207922.4564181031</v>
      </c>
      <c r="G126" s="400">
        <v>0</v>
      </c>
      <c r="H126" s="400">
        <v>-122675</v>
      </c>
      <c r="I126" s="400">
        <v>0</v>
      </c>
      <c r="J126" s="402">
        <v>-122675</v>
      </c>
      <c r="K126" s="400">
        <v>866277.97095533437</v>
      </c>
      <c r="L126" s="400">
        <v>402240.14642976812</v>
      </c>
      <c r="M126" s="15">
        <v>1268518.1173851024</v>
      </c>
      <c r="N126" s="397">
        <v>0</v>
      </c>
      <c r="P126" s="713">
        <v>-62079.339033000637</v>
      </c>
      <c r="Q126" s="714"/>
      <c r="R126" s="714"/>
      <c r="S126" s="715"/>
      <c r="T126" s="397">
        <v>3346243.6349534388</v>
      </c>
      <c r="U126" s="398">
        <v>105906.22510188429</v>
      </c>
      <c r="V126" s="403">
        <v>3390070.5210223226</v>
      </c>
      <c r="W126" s="416">
        <v>105906.22510188429</v>
      </c>
      <c r="X126" s="180"/>
      <c r="Y126" s="180"/>
      <c r="Z126" s="15"/>
    </row>
    <row r="127" spans="1:26" x14ac:dyDescent="0.25">
      <c r="A127" s="111">
        <v>5613</v>
      </c>
      <c r="B127" s="119" t="s">
        <v>219</v>
      </c>
      <c r="C127" s="400">
        <v>5292940.2863611067</v>
      </c>
      <c r="D127" s="400">
        <v>0</v>
      </c>
      <c r="E127" s="401">
        <v>271961.70948886743</v>
      </c>
      <c r="F127" s="397">
        <v>5564901.9958499745</v>
      </c>
      <c r="G127" s="400">
        <v>0</v>
      </c>
      <c r="H127" s="400">
        <v>-31787</v>
      </c>
      <c r="I127" s="400">
        <v>0</v>
      </c>
      <c r="J127" s="402">
        <v>-31787</v>
      </c>
      <c r="K127" s="400">
        <v>724431.69564848952</v>
      </c>
      <c r="L127" s="400">
        <v>631241.71471330489</v>
      </c>
      <c r="M127" s="15">
        <v>1355673.4103617943</v>
      </c>
      <c r="N127" s="397">
        <v>0</v>
      </c>
      <c r="P127" s="713">
        <v>6888788.4062117692</v>
      </c>
      <c r="Q127" s="714"/>
      <c r="R127" s="714"/>
      <c r="S127" s="715"/>
      <c r="T127" s="397">
        <v>5251312.1545049464</v>
      </c>
      <c r="U127" s="398">
        <v>166200.28539045705</v>
      </c>
      <c r="V127" s="403">
        <v>12306300.846107172</v>
      </c>
      <c r="W127" s="416">
        <v>166200.28539045705</v>
      </c>
      <c r="X127" s="180"/>
      <c r="Y127" s="180"/>
      <c r="Z127" s="15"/>
    </row>
    <row r="128" spans="1:26" x14ac:dyDescent="0.25">
      <c r="A128" s="111">
        <v>5621</v>
      </c>
      <c r="B128" s="119" t="s">
        <v>220</v>
      </c>
      <c r="C128" s="400">
        <v>266479.73448920209</v>
      </c>
      <c r="D128" s="400">
        <v>0</v>
      </c>
      <c r="E128" s="401">
        <v>94736.539910287436</v>
      </c>
      <c r="F128" s="397">
        <v>361216.27439948951</v>
      </c>
      <c r="G128" s="400">
        <v>0</v>
      </c>
      <c r="H128" s="400">
        <v>0</v>
      </c>
      <c r="I128" s="400">
        <v>-3528</v>
      </c>
      <c r="J128" s="402">
        <v>-3528</v>
      </c>
      <c r="K128" s="400">
        <v>265242.65290376544</v>
      </c>
      <c r="L128" s="400">
        <v>67428.887655570172</v>
      </c>
      <c r="M128" s="15">
        <v>332671.54055933561</v>
      </c>
      <c r="N128" s="397">
        <v>0</v>
      </c>
      <c r="P128" s="713">
        <v>690359.81495882513</v>
      </c>
      <c r="Q128" s="714"/>
      <c r="R128" s="714"/>
      <c r="S128" s="715"/>
      <c r="T128" s="397">
        <v>560942.23346957297</v>
      </c>
      <c r="U128" s="398">
        <v>85437.488333764137</v>
      </c>
      <c r="V128" s="403">
        <v>1336739.5367621621</v>
      </c>
      <c r="W128" s="416">
        <v>17753.421725315871</v>
      </c>
      <c r="X128" s="180"/>
      <c r="Y128" s="180"/>
      <c r="Z128" s="15"/>
    </row>
    <row r="129" spans="1:26" x14ac:dyDescent="0.25">
      <c r="A129" s="111">
        <v>5622</v>
      </c>
      <c r="B129" s="119" t="s">
        <v>221</v>
      </c>
      <c r="C129" s="400">
        <v>2109.0690085205169</v>
      </c>
      <c r="D129" s="400">
        <v>0</v>
      </c>
      <c r="E129" s="401">
        <v>-56679.765493224055</v>
      </c>
      <c r="F129" s="397">
        <v>-54570.696484703542</v>
      </c>
      <c r="G129" s="400">
        <v>0</v>
      </c>
      <c r="H129" s="400">
        <v>0</v>
      </c>
      <c r="I129" s="400">
        <v>-6397</v>
      </c>
      <c r="J129" s="402">
        <v>-6397</v>
      </c>
      <c r="K129" s="400">
        <v>281762.95654483046</v>
      </c>
      <c r="L129" s="400">
        <v>71628.610762145487</v>
      </c>
      <c r="M129" s="15">
        <v>353391.56730697595</v>
      </c>
      <c r="N129" s="397">
        <v>0</v>
      </c>
      <c r="P129" s="713">
        <v>292423.87082227238</v>
      </c>
      <c r="Q129" s="714"/>
      <c r="R129" s="714"/>
      <c r="S129" s="715"/>
      <c r="T129" s="397">
        <v>595879.81202477124</v>
      </c>
      <c r="U129" s="398">
        <v>90758.854389154294</v>
      </c>
      <c r="V129" s="403">
        <v>979062.53723619785</v>
      </c>
      <c r="W129" s="416">
        <v>18859.171175335545</v>
      </c>
      <c r="X129" s="180"/>
      <c r="Y129" s="180"/>
      <c r="Z129" s="15"/>
    </row>
    <row r="130" spans="1:26" x14ac:dyDescent="0.25">
      <c r="A130" s="111">
        <v>5623</v>
      </c>
      <c r="B130" s="119" t="s">
        <v>222</v>
      </c>
      <c r="C130" s="400">
        <v>3201418.8610796905</v>
      </c>
      <c r="D130" s="400">
        <v>0</v>
      </c>
      <c r="E130" s="401">
        <v>-8409.6081170112739</v>
      </c>
      <c r="F130" s="397">
        <v>3193009.2529626791</v>
      </c>
      <c r="G130" s="400">
        <v>0</v>
      </c>
      <c r="H130" s="400">
        <v>0</v>
      </c>
      <c r="I130" s="400">
        <v>0</v>
      </c>
      <c r="J130" s="402">
        <v>0</v>
      </c>
      <c r="K130" s="400">
        <v>315262.46115032339</v>
      </c>
      <c r="L130" s="400">
        <v>80144.715950478741</v>
      </c>
      <c r="M130" s="15">
        <v>395407.17710080213</v>
      </c>
      <c r="N130" s="397">
        <v>0</v>
      </c>
      <c r="P130" s="713">
        <v>3588416.4300634814</v>
      </c>
      <c r="Q130" s="714"/>
      <c r="R130" s="714"/>
      <c r="S130" s="715"/>
      <c r="T130" s="397">
        <v>666725.45742836781</v>
      </c>
      <c r="U130" s="398">
        <v>21101.385337875439</v>
      </c>
      <c r="V130" s="403">
        <v>4276243.2728297245</v>
      </c>
      <c r="W130" s="416">
        <v>21101.385337875439</v>
      </c>
      <c r="X130" s="180"/>
      <c r="Y130" s="180"/>
      <c r="Z130" s="15"/>
    </row>
    <row r="131" spans="1:26" x14ac:dyDescent="0.25">
      <c r="A131" s="111">
        <v>5624</v>
      </c>
      <c r="B131" s="119" t="s">
        <v>223</v>
      </c>
      <c r="C131" s="400">
        <v>-5971817.4931293521</v>
      </c>
      <c r="D131" s="400">
        <v>0</v>
      </c>
      <c r="E131" s="401">
        <v>-358616.45445500012</v>
      </c>
      <c r="F131" s="397">
        <v>-6330433.9475843525</v>
      </c>
      <c r="G131" s="400">
        <v>0</v>
      </c>
      <c r="H131" s="400">
        <v>0</v>
      </c>
      <c r="I131" s="400">
        <v>0</v>
      </c>
      <c r="J131" s="402">
        <v>0</v>
      </c>
      <c r="K131" s="400">
        <v>346223.13479467947</v>
      </c>
      <c r="L131" s="400">
        <v>-828787.31511390558</v>
      </c>
      <c r="M131" s="15">
        <v>-482564.18031922611</v>
      </c>
      <c r="N131" s="397">
        <v>0</v>
      </c>
      <c r="P131" s="713">
        <v>-6812998.1279035788</v>
      </c>
      <c r="Q131" s="714"/>
      <c r="R131" s="714"/>
      <c r="S131" s="715"/>
      <c r="T131" s="397">
        <v>10330847.881113501</v>
      </c>
      <c r="U131" s="398">
        <v>326963.96931831737</v>
      </c>
      <c r="V131" s="403">
        <v>3844813.7225282397</v>
      </c>
      <c r="W131" s="416">
        <v>326963.96931831737</v>
      </c>
      <c r="X131" s="180"/>
      <c r="Y131" s="180"/>
      <c r="Z131" s="15"/>
    </row>
    <row r="132" spans="1:26" x14ac:dyDescent="0.25">
      <c r="A132" s="111">
        <v>5627</v>
      </c>
      <c r="B132" s="119" t="s">
        <v>224</v>
      </c>
      <c r="C132" s="400">
        <v>-13610992.337085189</v>
      </c>
      <c r="D132" s="400">
        <v>-329723</v>
      </c>
      <c r="E132" s="401">
        <v>-1299269.5031274154</v>
      </c>
      <c r="F132" s="397">
        <v>-15239984.840212604</v>
      </c>
      <c r="G132" s="400">
        <v>0</v>
      </c>
      <c r="H132" s="400">
        <v>0</v>
      </c>
      <c r="I132" s="400">
        <v>0</v>
      </c>
      <c r="J132" s="402">
        <v>0</v>
      </c>
      <c r="K132" s="400">
        <v>440739.14503479842</v>
      </c>
      <c r="L132" s="400">
        <v>-854664.49471962149</v>
      </c>
      <c r="M132" s="15">
        <v>-413925.34968482307</v>
      </c>
      <c r="N132" s="397">
        <v>0</v>
      </c>
      <c r="P132" s="713">
        <v>-15653910.189897427</v>
      </c>
      <c r="Q132" s="714"/>
      <c r="R132" s="714"/>
      <c r="S132" s="715"/>
      <c r="T132" s="397">
        <v>9061449.1936079636</v>
      </c>
      <c r="U132" s="398">
        <v>286788.40596760256</v>
      </c>
      <c r="V132" s="403">
        <v>-6305672.5903218612</v>
      </c>
      <c r="W132" s="416">
        <v>286788.40596760256</v>
      </c>
      <c r="X132" s="180"/>
      <c r="Y132" s="180"/>
      <c r="Z132" s="15"/>
    </row>
    <row r="133" spans="1:26" x14ac:dyDescent="0.25">
      <c r="A133" s="111">
        <v>5628</v>
      </c>
      <c r="B133" s="119" t="s">
        <v>225</v>
      </c>
      <c r="C133" s="400">
        <v>485991.31369637698</v>
      </c>
      <c r="D133" s="400">
        <v>0</v>
      </c>
      <c r="E133" s="401">
        <v>6844.0283255039831</v>
      </c>
      <c r="F133" s="397">
        <v>492835.34202188096</v>
      </c>
      <c r="G133" s="400">
        <v>0</v>
      </c>
      <c r="H133" s="400">
        <v>0</v>
      </c>
      <c r="I133" s="400">
        <v>0</v>
      </c>
      <c r="J133" s="402">
        <v>0</v>
      </c>
      <c r="K133" s="400">
        <v>193654.67045915057</v>
      </c>
      <c r="L133" s="400">
        <v>49230.087527077187</v>
      </c>
      <c r="M133" s="15">
        <v>242884.75798622775</v>
      </c>
      <c r="N133" s="397">
        <v>0</v>
      </c>
      <c r="P133" s="713">
        <v>735720.10000810865</v>
      </c>
      <c r="Q133" s="714"/>
      <c r="R133" s="714"/>
      <c r="S133" s="715"/>
      <c r="T133" s="397">
        <v>409546.05973038025</v>
      </c>
      <c r="U133" s="398">
        <v>62378.235427073465</v>
      </c>
      <c r="V133" s="403">
        <v>1207644.3951655624</v>
      </c>
      <c r="W133" s="416">
        <v>12961.840775230619</v>
      </c>
      <c r="X133" s="180"/>
      <c r="Y133" s="180"/>
      <c r="Z133" s="15"/>
    </row>
    <row r="134" spans="1:26" x14ac:dyDescent="0.25">
      <c r="A134" s="111">
        <v>5629</v>
      </c>
      <c r="B134" s="119" t="s">
        <v>226</v>
      </c>
      <c r="C134" s="400">
        <v>31928.02415782262</v>
      </c>
      <c r="D134" s="400">
        <v>0</v>
      </c>
      <c r="E134" s="401">
        <v>-22960.592871361674</v>
      </c>
      <c r="F134" s="397">
        <v>8967.4312864609456</v>
      </c>
      <c r="G134" s="400">
        <v>0</v>
      </c>
      <c r="H134" s="400">
        <v>0</v>
      </c>
      <c r="I134" s="400">
        <v>0</v>
      </c>
      <c r="J134" s="402">
        <v>0</v>
      </c>
      <c r="K134" s="400">
        <v>100498.51381647862</v>
      </c>
      <c r="L134" s="400">
        <v>25548.315564999775</v>
      </c>
      <c r="M134" s="15">
        <v>126046.8293814784</v>
      </c>
      <c r="N134" s="397">
        <v>-25400</v>
      </c>
      <c r="P134" s="713">
        <v>109614.26066793935</v>
      </c>
      <c r="Q134" s="714"/>
      <c r="R134" s="714"/>
      <c r="S134" s="715"/>
      <c r="T134" s="397">
        <v>212536.93621078975</v>
      </c>
      <c r="U134" s="398">
        <v>32371.643503623436</v>
      </c>
      <c r="V134" s="403">
        <v>354522.84038235253</v>
      </c>
      <c r="W134" s="416">
        <v>6726.6424876196816</v>
      </c>
      <c r="X134" s="180"/>
      <c r="Y134" s="180"/>
      <c r="Z134" s="15"/>
    </row>
    <row r="135" spans="1:26" x14ac:dyDescent="0.25">
      <c r="A135" s="111">
        <v>5631</v>
      </c>
      <c r="B135" s="119" t="s">
        <v>227</v>
      </c>
      <c r="C135" s="400">
        <v>608692.98276421544</v>
      </c>
      <c r="D135" s="400">
        <v>0</v>
      </c>
      <c r="E135" s="401">
        <v>21452.641960957262</v>
      </c>
      <c r="F135" s="397">
        <v>630145.62472517276</v>
      </c>
      <c r="G135" s="400">
        <v>0</v>
      </c>
      <c r="H135" s="400">
        <v>0</v>
      </c>
      <c r="I135" s="400">
        <v>0</v>
      </c>
      <c r="J135" s="402">
        <v>0</v>
      </c>
      <c r="K135" s="400">
        <v>340501.81393528375</v>
      </c>
      <c r="L135" s="400">
        <v>86560.959585524353</v>
      </c>
      <c r="M135" s="15">
        <v>427062.77352080808</v>
      </c>
      <c r="N135" s="397">
        <v>0</v>
      </c>
      <c r="P135" s="713">
        <v>1057208.398245981</v>
      </c>
      <c r="Q135" s="714"/>
      <c r="R135" s="714"/>
      <c r="S135" s="715"/>
      <c r="T135" s="397">
        <v>720102.3135543653</v>
      </c>
      <c r="U135" s="398">
        <v>109679.26703054151</v>
      </c>
      <c r="V135" s="403">
        <v>1886989.9788308877</v>
      </c>
      <c r="W135" s="416">
        <v>22790.724775405495</v>
      </c>
      <c r="X135" s="180"/>
      <c r="Y135" s="180"/>
      <c r="Z135" s="15"/>
    </row>
    <row r="136" spans="1:26" x14ac:dyDescent="0.25">
      <c r="A136" s="111">
        <v>5632</v>
      </c>
      <c r="B136" s="119" t="s">
        <v>228</v>
      </c>
      <c r="C136" s="400">
        <v>16007.071610374154</v>
      </c>
      <c r="D136" s="400">
        <v>0</v>
      </c>
      <c r="E136" s="401">
        <v>-86852.788327623799</v>
      </c>
      <c r="F136" s="397">
        <v>-70845.716717249641</v>
      </c>
      <c r="G136" s="400">
        <v>0</v>
      </c>
      <c r="H136" s="400">
        <v>0</v>
      </c>
      <c r="I136" s="400">
        <v>0</v>
      </c>
      <c r="J136" s="402">
        <v>0</v>
      </c>
      <c r="K136" s="400">
        <v>639415.97243140719</v>
      </c>
      <c r="L136" s="400">
        <v>-47806.206192399113</v>
      </c>
      <c r="M136" s="15">
        <v>591609.76623900805</v>
      </c>
      <c r="N136" s="397">
        <v>0</v>
      </c>
      <c r="P136" s="713">
        <v>520764.0495217584</v>
      </c>
      <c r="Q136" s="714"/>
      <c r="R136" s="714"/>
      <c r="S136" s="715"/>
      <c r="T136" s="397">
        <v>1767259.1819171149</v>
      </c>
      <c r="U136" s="398">
        <v>289731.6622725777</v>
      </c>
      <c r="V136" s="403">
        <v>2577754.893711451</v>
      </c>
      <c r="W136" s="416">
        <v>55932.493013495157</v>
      </c>
      <c r="X136" s="180"/>
      <c r="Y136" s="180"/>
      <c r="Z136" s="15"/>
    </row>
    <row r="137" spans="1:26" x14ac:dyDescent="0.25">
      <c r="A137" s="111">
        <v>5633</v>
      </c>
      <c r="B137" s="119" t="s">
        <v>229</v>
      </c>
      <c r="C137" s="400">
        <v>185179.9979953476</v>
      </c>
      <c r="D137" s="400">
        <v>0</v>
      </c>
      <c r="E137" s="401">
        <v>73000.528216153034</v>
      </c>
      <c r="F137" s="397">
        <v>258180.52621150063</v>
      </c>
      <c r="G137" s="400">
        <v>0</v>
      </c>
      <c r="H137" s="400">
        <v>0</v>
      </c>
      <c r="I137" s="400">
        <v>0</v>
      </c>
      <c r="J137" s="402">
        <v>0</v>
      </c>
      <c r="K137" s="400">
        <v>878861.53739558114</v>
      </c>
      <c r="L137" s="400">
        <v>-167781.58221849613</v>
      </c>
      <c r="M137" s="15">
        <v>711079.95517708501</v>
      </c>
      <c r="N137" s="397">
        <v>0</v>
      </c>
      <c r="P137" s="713">
        <v>969260.48138858564</v>
      </c>
      <c r="Q137" s="714"/>
      <c r="R137" s="714"/>
      <c r="S137" s="715"/>
      <c r="T137" s="397">
        <v>2824120.933211864</v>
      </c>
      <c r="U137" s="398">
        <v>477973.38826439856</v>
      </c>
      <c r="V137" s="403">
        <v>4271354.8028648477</v>
      </c>
      <c r="W137" s="416">
        <v>89381.41387659029</v>
      </c>
      <c r="X137" s="180"/>
      <c r="Y137" s="180"/>
      <c r="Z137" s="15"/>
    </row>
    <row r="138" spans="1:26" x14ac:dyDescent="0.25">
      <c r="A138" s="111">
        <v>5634</v>
      </c>
      <c r="B138" s="119" t="s">
        <v>230</v>
      </c>
      <c r="C138" s="400">
        <v>1415200.0181713868</v>
      </c>
      <c r="D138" s="400">
        <v>0</v>
      </c>
      <c r="E138" s="401">
        <v>181659.9708730526</v>
      </c>
      <c r="F138" s="397">
        <v>1596859.9890444395</v>
      </c>
      <c r="G138" s="400">
        <v>0</v>
      </c>
      <c r="H138" s="400">
        <v>0</v>
      </c>
      <c r="I138" s="400">
        <v>0</v>
      </c>
      <c r="J138" s="402">
        <v>0</v>
      </c>
      <c r="K138" s="400">
        <v>885571.37671535881</v>
      </c>
      <c r="L138" s="400">
        <v>89232.600056001276</v>
      </c>
      <c r="M138" s="15">
        <v>974803.97677136003</v>
      </c>
      <c r="N138" s="397">
        <v>0</v>
      </c>
      <c r="P138" s="713">
        <v>2571663.9658157993</v>
      </c>
      <c r="Q138" s="714"/>
      <c r="R138" s="714"/>
      <c r="S138" s="715"/>
      <c r="T138" s="397">
        <v>3087123.2606690512</v>
      </c>
      <c r="U138" s="398">
        <v>527084.02113736072</v>
      </c>
      <c r="V138" s="403">
        <v>6185871.2476222105</v>
      </c>
      <c r="W138" s="416">
        <v>97705.25001423838</v>
      </c>
      <c r="X138" s="180"/>
      <c r="Y138" s="180"/>
      <c r="Z138" s="15"/>
    </row>
    <row r="139" spans="1:26" x14ac:dyDescent="0.25">
      <c r="A139" s="111">
        <v>5635</v>
      </c>
      <c r="B139" s="119" t="s">
        <v>231</v>
      </c>
      <c r="C139" s="400">
        <v>-8080630.7223289926</v>
      </c>
      <c r="D139" s="400">
        <v>0</v>
      </c>
      <c r="E139" s="401">
        <v>234560.9052660428</v>
      </c>
      <c r="F139" s="397">
        <v>-7846069.8170629498</v>
      </c>
      <c r="G139" s="400">
        <v>0</v>
      </c>
      <c r="H139" s="400">
        <v>0</v>
      </c>
      <c r="I139" s="400">
        <v>0</v>
      </c>
      <c r="J139" s="402">
        <v>0</v>
      </c>
      <c r="K139" s="400">
        <v>-379506.71045691986</v>
      </c>
      <c r="L139" s="400">
        <v>-1375387.4449145794</v>
      </c>
      <c r="M139" s="15">
        <v>-1754894.1553714992</v>
      </c>
      <c r="N139" s="397">
        <v>0</v>
      </c>
      <c r="P139" s="713">
        <v>-9600963.9724344499</v>
      </c>
      <c r="Q139" s="714"/>
      <c r="R139" s="714"/>
      <c r="S139" s="715"/>
      <c r="T139" s="397">
        <v>12940490.901528176</v>
      </c>
      <c r="U139" s="398">
        <v>409557.31018228689</v>
      </c>
      <c r="V139" s="403">
        <v>3749084.2392760129</v>
      </c>
      <c r="W139" s="416">
        <v>409557.31018228689</v>
      </c>
      <c r="X139" s="180"/>
      <c r="Y139" s="180"/>
      <c r="Z139" s="15"/>
    </row>
    <row r="140" spans="1:26" x14ac:dyDescent="0.25">
      <c r="A140" s="111">
        <v>5636</v>
      </c>
      <c r="B140" s="119" t="s">
        <v>232</v>
      </c>
      <c r="C140" s="400">
        <v>4944281.1826815838</v>
      </c>
      <c r="D140" s="400">
        <v>0</v>
      </c>
      <c r="E140" s="401">
        <v>522767.73504851083</v>
      </c>
      <c r="F140" s="397">
        <v>5467048.9177300949</v>
      </c>
      <c r="G140" s="400">
        <v>0</v>
      </c>
      <c r="H140" s="400">
        <v>0</v>
      </c>
      <c r="I140" s="400">
        <v>0</v>
      </c>
      <c r="J140" s="402">
        <v>0</v>
      </c>
      <c r="K140" s="400">
        <v>881060.30291407683</v>
      </c>
      <c r="L140" s="400">
        <v>340644.20753333031</v>
      </c>
      <c r="M140" s="15">
        <v>1221704.5104474071</v>
      </c>
      <c r="N140" s="397">
        <v>0</v>
      </c>
      <c r="P140" s="713">
        <v>6688753.428177502</v>
      </c>
      <c r="Q140" s="714"/>
      <c r="R140" s="714"/>
      <c r="S140" s="715"/>
      <c r="T140" s="397">
        <v>2833825.8161438634</v>
      </c>
      <c r="U140" s="398">
        <v>479701.96242410305</v>
      </c>
      <c r="V140" s="403">
        <v>10002281.206745468</v>
      </c>
      <c r="W140" s="416">
        <v>89688.566501595749</v>
      </c>
      <c r="X140" s="180"/>
      <c r="Y140" s="180"/>
      <c r="Z140" s="15"/>
    </row>
    <row r="141" spans="1:26" x14ac:dyDescent="0.25">
      <c r="A141" s="111">
        <v>5637</v>
      </c>
      <c r="B141" s="119" t="s">
        <v>233</v>
      </c>
      <c r="C141" s="400">
        <v>-682445.28120805044</v>
      </c>
      <c r="D141" s="400">
        <v>0</v>
      </c>
      <c r="E141" s="401">
        <v>-16029.78123594739</v>
      </c>
      <c r="F141" s="397">
        <v>-698475.06244399783</v>
      </c>
      <c r="G141" s="400">
        <v>0</v>
      </c>
      <c r="H141" s="400">
        <v>0</v>
      </c>
      <c r="I141" s="400">
        <v>-11845</v>
      </c>
      <c r="J141" s="402">
        <v>-11845</v>
      </c>
      <c r="K141" s="400">
        <v>470330.90405909333</v>
      </c>
      <c r="L141" s="400">
        <v>122725.24189214503</v>
      </c>
      <c r="M141" s="15">
        <v>593056.14595123834</v>
      </c>
      <c r="N141" s="397">
        <v>-400</v>
      </c>
      <c r="P141" s="713">
        <v>-117663.91649275948</v>
      </c>
      <c r="Q141" s="714"/>
      <c r="R141" s="714"/>
      <c r="S141" s="715"/>
      <c r="T141" s="397">
        <v>1020953.6844463508</v>
      </c>
      <c r="U141" s="398">
        <v>156804.30939130104</v>
      </c>
      <c r="V141" s="403">
        <v>1060094.0773448923</v>
      </c>
      <c r="W141" s="416">
        <v>32312.456150574908</v>
      </c>
      <c r="X141" s="180"/>
      <c r="Y141" s="180"/>
      <c r="Z141" s="15"/>
    </row>
    <row r="142" spans="1:26" x14ac:dyDescent="0.25">
      <c r="A142" s="111">
        <v>5638</v>
      </c>
      <c r="B142" s="119" t="s">
        <v>234</v>
      </c>
      <c r="C142" s="400">
        <v>1820924.7625907233</v>
      </c>
      <c r="D142" s="400">
        <v>0</v>
      </c>
      <c r="E142" s="401">
        <v>2475322.2224539858</v>
      </c>
      <c r="F142" s="397">
        <v>4296246.9850447094</v>
      </c>
      <c r="G142" s="400">
        <v>0</v>
      </c>
      <c r="H142" s="400">
        <v>0</v>
      </c>
      <c r="I142" s="400">
        <v>0</v>
      </c>
      <c r="J142" s="402">
        <v>0</v>
      </c>
      <c r="K142" s="400">
        <v>831148.32564422593</v>
      </c>
      <c r="L142" s="400">
        <v>-264781.57983313059</v>
      </c>
      <c r="M142" s="15">
        <v>566366.74581109534</v>
      </c>
      <c r="N142" s="397">
        <v>0</v>
      </c>
      <c r="P142" s="713">
        <v>4862613.7308558049</v>
      </c>
      <c r="Q142" s="714"/>
      <c r="R142" s="714"/>
      <c r="S142" s="715"/>
      <c r="T142" s="397">
        <v>2613524.9735874739</v>
      </c>
      <c r="U142" s="398">
        <v>440463.32899881073</v>
      </c>
      <c r="V142" s="403">
        <v>7916602.0334420893</v>
      </c>
      <c r="W142" s="416">
        <v>82716.201913971701</v>
      </c>
      <c r="X142" s="180"/>
      <c r="Y142" s="180"/>
      <c r="Z142" s="15"/>
    </row>
    <row r="143" spans="1:26" x14ac:dyDescent="0.25">
      <c r="A143" s="111">
        <v>5639</v>
      </c>
      <c r="B143" s="119" t="s">
        <v>235</v>
      </c>
      <c r="C143" s="400">
        <v>541753.68403103296</v>
      </c>
      <c r="D143" s="400">
        <v>0</v>
      </c>
      <c r="E143" s="401">
        <v>104528.64663541428</v>
      </c>
      <c r="F143" s="397">
        <v>646282.33066644729</v>
      </c>
      <c r="G143" s="400">
        <v>0</v>
      </c>
      <c r="H143" s="400">
        <v>0</v>
      </c>
      <c r="I143" s="400">
        <v>-31004</v>
      </c>
      <c r="J143" s="402">
        <v>-31004</v>
      </c>
      <c r="K143" s="400">
        <v>382261.47036130913</v>
      </c>
      <c r="L143" s="400">
        <v>-163.4736728547432</v>
      </c>
      <c r="M143" s="15">
        <v>382097.99668845441</v>
      </c>
      <c r="N143" s="397">
        <v>0</v>
      </c>
      <c r="P143" s="713">
        <v>997376.3273549017</v>
      </c>
      <c r="Q143" s="714"/>
      <c r="R143" s="714"/>
      <c r="S143" s="715"/>
      <c r="T143" s="397">
        <v>808416.74823556107</v>
      </c>
      <c r="U143" s="398">
        <v>123130.49789277773</v>
      </c>
      <c r="V143" s="403">
        <v>1928923.5734832406</v>
      </c>
      <c r="W143" s="416">
        <v>25585.813662955228</v>
      </c>
      <c r="X143" s="180"/>
      <c r="Y143" s="180"/>
      <c r="Z143" s="15"/>
    </row>
    <row r="144" spans="1:26" x14ac:dyDescent="0.25">
      <c r="A144" s="111">
        <v>5640</v>
      </c>
      <c r="B144" s="119" t="s">
        <v>236</v>
      </c>
      <c r="C144" s="400">
        <v>957019.70687905245</v>
      </c>
      <c r="D144" s="400">
        <v>0</v>
      </c>
      <c r="E144" s="401">
        <v>-30666.774871400674</v>
      </c>
      <c r="F144" s="397">
        <v>926352.93200765178</v>
      </c>
      <c r="G144" s="400">
        <v>0</v>
      </c>
      <c r="H144" s="400">
        <v>0</v>
      </c>
      <c r="I144" s="400">
        <v>-73355</v>
      </c>
      <c r="J144" s="402">
        <v>-73355</v>
      </c>
      <c r="K144" s="400">
        <v>335912.84070165455</v>
      </c>
      <c r="L144" s="400">
        <v>-25376.430166302132</v>
      </c>
      <c r="M144" s="15">
        <v>310536.41053535242</v>
      </c>
      <c r="N144" s="397">
        <v>0</v>
      </c>
      <c r="P144" s="713">
        <v>1163534.3425430041</v>
      </c>
      <c r="Q144" s="714"/>
      <c r="R144" s="714"/>
      <c r="S144" s="715"/>
      <c r="T144" s="397">
        <v>710397.43062236579</v>
      </c>
      <c r="U144" s="398">
        <v>22483.572150400032</v>
      </c>
      <c r="V144" s="403">
        <v>1896415.34531577</v>
      </c>
      <c r="W144" s="416">
        <v>22483.572150400032</v>
      </c>
      <c r="X144" s="180"/>
      <c r="Y144" s="180"/>
      <c r="Z144" s="15"/>
    </row>
    <row r="145" spans="1:26" x14ac:dyDescent="0.25">
      <c r="A145" s="111">
        <v>5642</v>
      </c>
      <c r="B145" s="119" t="s">
        <v>67</v>
      </c>
      <c r="C145" s="400">
        <v>6211701.3411169443</v>
      </c>
      <c r="D145" s="400">
        <v>0</v>
      </c>
      <c r="E145" s="401">
        <v>1284233.1333514769</v>
      </c>
      <c r="F145" s="397">
        <v>7495934.4744684212</v>
      </c>
      <c r="G145" s="400">
        <v>0</v>
      </c>
      <c r="H145" s="400">
        <v>0</v>
      </c>
      <c r="I145" s="400">
        <v>0</v>
      </c>
      <c r="J145" s="402">
        <v>0</v>
      </c>
      <c r="K145" s="400">
        <v>-2606486.4806647208</v>
      </c>
      <c r="L145" s="400">
        <v>-571078.49563209619</v>
      </c>
      <c r="M145" s="15">
        <v>-3177564.976296817</v>
      </c>
      <c r="N145" s="397">
        <v>0</v>
      </c>
      <c r="P145" s="713">
        <v>4318369.4981716042</v>
      </c>
      <c r="Q145" s="714"/>
      <c r="R145" s="714"/>
      <c r="S145" s="715"/>
      <c r="T145" s="397">
        <v>17231019.64576517</v>
      </c>
      <c r="U145" s="398">
        <v>545349.48569720297</v>
      </c>
      <c r="V145" s="403">
        <v>22094738.629633978</v>
      </c>
      <c r="W145" s="416">
        <v>545349.48569720297</v>
      </c>
      <c r="X145" s="180"/>
      <c r="Y145" s="180"/>
      <c r="Z145" s="15"/>
    </row>
    <row r="146" spans="1:26" x14ac:dyDescent="0.25">
      <c r="A146" s="111">
        <v>5643</v>
      </c>
      <c r="B146" s="119" t="s">
        <v>237</v>
      </c>
      <c r="C146" s="400">
        <v>-384440.91752487491</v>
      </c>
      <c r="D146" s="400">
        <v>0</v>
      </c>
      <c r="E146" s="401">
        <v>-276961.58895946143</v>
      </c>
      <c r="F146" s="397">
        <v>-661402.50648433634</v>
      </c>
      <c r="G146" s="400">
        <v>0</v>
      </c>
      <c r="H146" s="400">
        <v>0</v>
      </c>
      <c r="I146" s="400">
        <v>0</v>
      </c>
      <c r="J146" s="402">
        <v>0</v>
      </c>
      <c r="K146" s="400">
        <v>738016.56562183937</v>
      </c>
      <c r="L146" s="400">
        <v>46530.227378967218</v>
      </c>
      <c r="M146" s="15">
        <v>784546.79300080659</v>
      </c>
      <c r="N146" s="397">
        <v>0</v>
      </c>
      <c r="P146" s="713">
        <v>123144.28651647025</v>
      </c>
      <c r="Q146" s="714"/>
      <c r="R146" s="714"/>
      <c r="S146" s="715"/>
      <c r="T146" s="397">
        <v>5068860.3553833552</v>
      </c>
      <c r="U146" s="398">
        <v>160425.81604035432</v>
      </c>
      <c r="V146" s="403">
        <v>5352430.4579401799</v>
      </c>
      <c r="W146" s="416">
        <v>160425.81604035432</v>
      </c>
      <c r="X146" s="180"/>
      <c r="Y146" s="180"/>
      <c r="Z146" s="15"/>
    </row>
    <row r="147" spans="1:26" x14ac:dyDescent="0.25">
      <c r="A147" s="111">
        <v>5645</v>
      </c>
      <c r="B147" s="119" t="s">
        <v>238</v>
      </c>
      <c r="C147" s="400">
        <v>216296.27532262701</v>
      </c>
      <c r="D147" s="400">
        <v>0</v>
      </c>
      <c r="E147" s="401">
        <v>-23181.009345064362</v>
      </c>
      <c r="F147" s="397">
        <v>193115.26597756264</v>
      </c>
      <c r="G147" s="400">
        <v>0</v>
      </c>
      <c r="H147" s="400">
        <v>0</v>
      </c>
      <c r="I147" s="400">
        <v>0</v>
      </c>
      <c r="J147" s="402">
        <v>0</v>
      </c>
      <c r="K147" s="400">
        <v>212010.56339366722</v>
      </c>
      <c r="L147" s="400">
        <v>53896.446534383082</v>
      </c>
      <c r="M147" s="15">
        <v>265907.00992805033</v>
      </c>
      <c r="N147" s="397">
        <v>0</v>
      </c>
      <c r="P147" s="713">
        <v>459022.27590561297</v>
      </c>
      <c r="Q147" s="714"/>
      <c r="R147" s="714"/>
      <c r="S147" s="715"/>
      <c r="T147" s="397">
        <v>448365.59145837836</v>
      </c>
      <c r="U147" s="398">
        <v>68290.86437750698</v>
      </c>
      <c r="V147" s="403">
        <v>975678.73174149834</v>
      </c>
      <c r="W147" s="416">
        <v>14190.451275252479</v>
      </c>
      <c r="X147" s="180"/>
      <c r="Y147" s="180"/>
      <c r="Z147" s="15"/>
    </row>
    <row r="148" spans="1:26" x14ac:dyDescent="0.25">
      <c r="A148" s="111">
        <v>5646</v>
      </c>
      <c r="B148" s="119" t="s">
        <v>239</v>
      </c>
      <c r="C148" s="400">
        <v>12624800.794078052</v>
      </c>
      <c r="D148" s="400">
        <v>0</v>
      </c>
      <c r="E148" s="401">
        <v>157300.35337382019</v>
      </c>
      <c r="F148" s="397">
        <v>12782101.147451872</v>
      </c>
      <c r="G148" s="400">
        <v>0</v>
      </c>
      <c r="H148" s="400">
        <v>0</v>
      </c>
      <c r="I148" s="400">
        <v>0</v>
      </c>
      <c r="J148" s="402">
        <v>0</v>
      </c>
      <c r="K148" s="400">
        <v>688590.76210177736</v>
      </c>
      <c r="L148" s="400">
        <v>689104.56640389794</v>
      </c>
      <c r="M148" s="15">
        <v>1377695.3285056753</v>
      </c>
      <c r="N148" s="397">
        <v>0</v>
      </c>
      <c r="P148" s="713">
        <v>14159796.475957546</v>
      </c>
      <c r="Q148" s="714"/>
      <c r="R148" s="714"/>
      <c r="S148" s="715"/>
      <c r="T148" s="397">
        <v>5732674.3479321236</v>
      </c>
      <c r="U148" s="398">
        <v>181435.05559072812</v>
      </c>
      <c r="V148" s="403">
        <v>20073905.879480395</v>
      </c>
      <c r="W148" s="416">
        <v>181435.05559072812</v>
      </c>
      <c r="X148" s="180"/>
      <c r="Y148" s="180"/>
      <c r="Z148" s="15"/>
    </row>
    <row r="149" spans="1:26" x14ac:dyDescent="0.25">
      <c r="A149" s="111">
        <v>5648</v>
      </c>
      <c r="B149" s="119" t="s">
        <v>240</v>
      </c>
      <c r="C149" s="400">
        <v>7444104.2995867971</v>
      </c>
      <c r="D149" s="400">
        <v>0</v>
      </c>
      <c r="E149" s="401">
        <v>865972.65046549647</v>
      </c>
      <c r="F149" s="397">
        <v>8310076.9500522939</v>
      </c>
      <c r="G149" s="400">
        <v>0</v>
      </c>
      <c r="H149" s="400">
        <v>0</v>
      </c>
      <c r="I149" s="400">
        <v>0</v>
      </c>
      <c r="J149" s="402">
        <v>0</v>
      </c>
      <c r="K149" s="400">
        <v>744158.66108851414</v>
      </c>
      <c r="L149" s="400">
        <v>-800868.41951155756</v>
      </c>
      <c r="M149" s="15">
        <v>-56709.758423043415</v>
      </c>
      <c r="N149" s="397">
        <v>0</v>
      </c>
      <c r="P149" s="713">
        <v>8253367.1916292505</v>
      </c>
      <c r="Q149" s="714"/>
      <c r="R149" s="714"/>
      <c r="S149" s="715"/>
      <c r="T149" s="397">
        <v>4986368.8504613591</v>
      </c>
      <c r="U149" s="398">
        <v>157815.01872780788</v>
      </c>
      <c r="V149" s="403">
        <v>13397551.060818417</v>
      </c>
      <c r="W149" s="416">
        <v>157815.01872780788</v>
      </c>
      <c r="X149" s="180"/>
      <c r="Y149" s="180"/>
      <c r="Z149" s="15"/>
    </row>
    <row r="150" spans="1:26" x14ac:dyDescent="0.25">
      <c r="A150" s="111">
        <v>5649</v>
      </c>
      <c r="B150" s="119" t="s">
        <v>241</v>
      </c>
      <c r="C150" s="400">
        <v>10184310.842902156</v>
      </c>
      <c r="D150" s="400">
        <v>0</v>
      </c>
      <c r="E150" s="401">
        <v>496882.17317919119</v>
      </c>
      <c r="F150" s="397">
        <v>10681193.016081346</v>
      </c>
      <c r="G150" s="400">
        <v>0</v>
      </c>
      <c r="H150" s="400">
        <v>0</v>
      </c>
      <c r="I150" s="400">
        <v>0</v>
      </c>
      <c r="J150" s="402">
        <v>0</v>
      </c>
      <c r="K150" s="400">
        <v>661623.50416821311</v>
      </c>
      <c r="L150" s="400">
        <v>-176400.84969895173</v>
      </c>
      <c r="M150" s="15">
        <v>485222.65446926141</v>
      </c>
      <c r="N150" s="397">
        <v>0</v>
      </c>
      <c r="P150" s="713">
        <v>11166415.670550607</v>
      </c>
      <c r="Q150" s="714"/>
      <c r="R150" s="714"/>
      <c r="S150" s="715"/>
      <c r="T150" s="397">
        <v>1865278.49953031</v>
      </c>
      <c r="U150" s="398">
        <v>59034.734526050357</v>
      </c>
      <c r="V150" s="403">
        <v>13090728.904606968</v>
      </c>
      <c r="W150" s="416">
        <v>59034.734526050357</v>
      </c>
      <c r="X150" s="180"/>
      <c r="Y150" s="180"/>
      <c r="Z150" s="15"/>
    </row>
    <row r="151" spans="1:26" x14ac:dyDescent="0.25">
      <c r="A151" s="111">
        <v>5650</v>
      </c>
      <c r="B151" s="119" t="s">
        <v>242</v>
      </c>
      <c r="C151" s="400">
        <v>4715595.0520086214</v>
      </c>
      <c r="D151" s="400">
        <v>0</v>
      </c>
      <c r="E151" s="401">
        <v>-31647.237017557538</v>
      </c>
      <c r="F151" s="397">
        <v>4683947.8149910634</v>
      </c>
      <c r="G151" s="400">
        <v>-7312</v>
      </c>
      <c r="H151" s="400">
        <v>0</v>
      </c>
      <c r="I151" s="400">
        <v>0</v>
      </c>
      <c r="J151" s="402">
        <v>-7312</v>
      </c>
      <c r="K151" s="400">
        <v>82601.518205324901</v>
      </c>
      <c r="L151" s="400">
        <v>20998.615532876527</v>
      </c>
      <c r="M151" s="15">
        <v>103600.13373820143</v>
      </c>
      <c r="N151" s="397">
        <v>-172200</v>
      </c>
      <c r="P151" s="713">
        <v>4608035.9487292645</v>
      </c>
      <c r="Q151" s="714"/>
      <c r="R151" s="714"/>
      <c r="S151" s="715"/>
      <c r="T151" s="397">
        <v>174687.89277599158</v>
      </c>
      <c r="U151" s="398">
        <v>26606.830276950768</v>
      </c>
      <c r="V151" s="403">
        <v>4809330.6717822077</v>
      </c>
      <c r="W151" s="416">
        <v>5528.7472500983686</v>
      </c>
      <c r="X151" s="180"/>
      <c r="Y151" s="180"/>
      <c r="Z151" s="15"/>
    </row>
    <row r="152" spans="1:26" x14ac:dyDescent="0.25">
      <c r="A152" s="111">
        <v>5651</v>
      </c>
      <c r="B152" s="119" t="s">
        <v>243</v>
      </c>
      <c r="C152" s="400">
        <v>699576.1360307727</v>
      </c>
      <c r="D152" s="400">
        <v>0</v>
      </c>
      <c r="E152" s="401">
        <v>-11280.047428924387</v>
      </c>
      <c r="F152" s="397">
        <v>688296.08860184834</v>
      </c>
      <c r="G152" s="400">
        <v>0</v>
      </c>
      <c r="H152" s="400">
        <v>0</v>
      </c>
      <c r="I152" s="400">
        <v>0</v>
      </c>
      <c r="J152" s="402">
        <v>0</v>
      </c>
      <c r="K152" s="400">
        <v>449719.37689565774</v>
      </c>
      <c r="L152" s="400">
        <v>-295674.26832100551</v>
      </c>
      <c r="M152" s="15">
        <v>154045.10857465223</v>
      </c>
      <c r="N152" s="397">
        <v>0</v>
      </c>
      <c r="P152" s="713">
        <v>842341.19717650057</v>
      </c>
      <c r="Q152" s="714"/>
      <c r="R152" s="714"/>
      <c r="S152" s="715"/>
      <c r="T152" s="397">
        <v>951078.52733595413</v>
      </c>
      <c r="U152" s="398">
        <v>30100.957250535561</v>
      </c>
      <c r="V152" s="403">
        <v>1823520.6817629901</v>
      </c>
      <c r="W152" s="416">
        <v>30100.957250535561</v>
      </c>
      <c r="X152" s="180"/>
      <c r="Y152" s="180"/>
      <c r="Z152" s="15"/>
    </row>
    <row r="153" spans="1:26" x14ac:dyDescent="0.25">
      <c r="A153" s="111">
        <v>5652</v>
      </c>
      <c r="B153" s="119" t="s">
        <v>244</v>
      </c>
      <c r="C153" s="400">
        <v>-31019.452414410276</v>
      </c>
      <c r="D153" s="400">
        <v>0</v>
      </c>
      <c r="E153" s="401">
        <v>229819.89859059697</v>
      </c>
      <c r="F153" s="397">
        <v>198800.4461761867</v>
      </c>
      <c r="G153" s="400">
        <v>0</v>
      </c>
      <c r="H153" s="400">
        <v>0</v>
      </c>
      <c r="I153" s="400">
        <v>0</v>
      </c>
      <c r="J153" s="402">
        <v>0</v>
      </c>
      <c r="K153" s="400">
        <v>279468.46992801584</v>
      </c>
      <c r="L153" s="400">
        <v>71045.315886232245</v>
      </c>
      <c r="M153" s="15">
        <v>350513.78581424808</v>
      </c>
      <c r="N153" s="397">
        <v>0</v>
      </c>
      <c r="P153" s="713">
        <v>549314.23199043481</v>
      </c>
      <c r="Q153" s="714"/>
      <c r="R153" s="714"/>
      <c r="S153" s="715"/>
      <c r="T153" s="397">
        <v>591027.37055877154</v>
      </c>
      <c r="U153" s="398">
        <v>90019.775770350097</v>
      </c>
      <c r="V153" s="403">
        <v>1230361.3783195566</v>
      </c>
      <c r="W153" s="416">
        <v>18705.594862832811</v>
      </c>
      <c r="X153" s="180"/>
      <c r="Y153" s="180"/>
      <c r="Z153" s="15"/>
    </row>
    <row r="154" spans="1:26" x14ac:dyDescent="0.25">
      <c r="A154" s="111">
        <v>5653</v>
      </c>
      <c r="B154" s="119" t="s">
        <v>245</v>
      </c>
      <c r="C154" s="400">
        <v>1272637.9175685619</v>
      </c>
      <c r="D154" s="400">
        <v>0</v>
      </c>
      <c r="E154" s="401">
        <v>-104406.49738603194</v>
      </c>
      <c r="F154" s="397">
        <v>1168231.4201825298</v>
      </c>
      <c r="G154" s="400">
        <v>0</v>
      </c>
      <c r="H154" s="400">
        <v>0</v>
      </c>
      <c r="I154" s="400">
        <v>0</v>
      </c>
      <c r="J154" s="402">
        <v>0</v>
      </c>
      <c r="K154" s="400">
        <v>404747.43920609198</v>
      </c>
      <c r="L154" s="400">
        <v>102893.21611109498</v>
      </c>
      <c r="M154" s="15">
        <v>507640.65531718696</v>
      </c>
      <c r="N154" s="397">
        <v>0</v>
      </c>
      <c r="P154" s="713">
        <v>1675872.0754997167</v>
      </c>
      <c r="Q154" s="714"/>
      <c r="R154" s="714"/>
      <c r="S154" s="715"/>
      <c r="T154" s="397">
        <v>855970.67460235872</v>
      </c>
      <c r="U154" s="398">
        <v>130373.46835705877</v>
      </c>
      <c r="V154" s="403">
        <v>2662216.218459134</v>
      </c>
      <c r="W154" s="416">
        <v>27090.861525482003</v>
      </c>
      <c r="X154" s="180"/>
      <c r="Y154" s="180"/>
      <c r="Z154" s="15"/>
    </row>
    <row r="155" spans="1:26" x14ac:dyDescent="0.25">
      <c r="A155" s="111">
        <v>5654</v>
      </c>
      <c r="B155" s="119" t="s">
        <v>246</v>
      </c>
      <c r="C155" s="400">
        <v>-303992.65727073583</v>
      </c>
      <c r="D155" s="400">
        <v>0</v>
      </c>
      <c r="E155" s="401">
        <v>-61980.667372363081</v>
      </c>
      <c r="F155" s="397">
        <v>-365973.32464309892</v>
      </c>
      <c r="G155" s="400">
        <v>-24770</v>
      </c>
      <c r="H155" s="400">
        <v>0</v>
      </c>
      <c r="I155" s="400">
        <v>-18645</v>
      </c>
      <c r="J155" s="402">
        <v>-43415</v>
      </c>
      <c r="K155" s="400">
        <v>262030.37164022506</v>
      </c>
      <c r="L155" s="400">
        <v>66612.274829291651</v>
      </c>
      <c r="M155" s="15">
        <v>328642.64646951668</v>
      </c>
      <c r="N155" s="397">
        <v>0</v>
      </c>
      <c r="P155" s="713">
        <v>-80745.678173582244</v>
      </c>
      <c r="Q155" s="714"/>
      <c r="R155" s="714"/>
      <c r="S155" s="715"/>
      <c r="T155" s="397">
        <v>554148.81541717332</v>
      </c>
      <c r="U155" s="398">
        <v>84402.778267438276</v>
      </c>
      <c r="V155" s="403">
        <v>557805.91551102931</v>
      </c>
      <c r="W155" s="416">
        <v>17538.414887812047</v>
      </c>
      <c r="X155" s="180"/>
      <c r="Y155" s="180"/>
      <c r="Z155" s="15"/>
    </row>
    <row r="156" spans="1:26" x14ac:dyDescent="0.25">
      <c r="A156" s="111">
        <v>5655</v>
      </c>
      <c r="B156" s="119" t="s">
        <v>247</v>
      </c>
      <c r="C156" s="400">
        <v>558417.82447254169</v>
      </c>
      <c r="D156" s="400">
        <v>0</v>
      </c>
      <c r="E156" s="401">
        <v>-56130.089230133919</v>
      </c>
      <c r="F156" s="397">
        <v>502287.73524240777</v>
      </c>
      <c r="G156" s="400">
        <v>0</v>
      </c>
      <c r="H156" s="400">
        <v>0</v>
      </c>
      <c r="I156" s="400">
        <v>-31094</v>
      </c>
      <c r="J156" s="402">
        <v>-31094</v>
      </c>
      <c r="K156" s="400">
        <v>569934.98204694537</v>
      </c>
      <c r="L156" s="400">
        <v>175571.7576498843</v>
      </c>
      <c r="M156" s="15">
        <v>745506.7396968297</v>
      </c>
      <c r="N156" s="397">
        <v>0</v>
      </c>
      <c r="P156" s="713">
        <v>1216700.4749392373</v>
      </c>
      <c r="Q156" s="714"/>
      <c r="R156" s="714"/>
      <c r="S156" s="715"/>
      <c r="T156" s="397">
        <v>1460584.8812659297</v>
      </c>
      <c r="U156" s="398">
        <v>235108.71882591525</v>
      </c>
      <c r="V156" s="403">
        <v>2912394.0750310826</v>
      </c>
      <c r="W156" s="416">
        <v>46226.470063322471</v>
      </c>
      <c r="X156" s="180"/>
      <c r="Y156" s="180"/>
      <c r="Z156" s="15"/>
    </row>
    <row r="157" spans="1:26" x14ac:dyDescent="0.25">
      <c r="A157" s="111">
        <v>5656</v>
      </c>
      <c r="B157" s="119" t="s">
        <v>248</v>
      </c>
      <c r="C157" s="400">
        <v>-2303021.8313776799</v>
      </c>
      <c r="D157" s="400">
        <v>0</v>
      </c>
      <c r="E157" s="401">
        <v>-387377.36020695773</v>
      </c>
      <c r="F157" s="397">
        <v>-2690399.1915846379</v>
      </c>
      <c r="G157" s="400">
        <v>0</v>
      </c>
      <c r="H157" s="400">
        <v>0</v>
      </c>
      <c r="I157" s="400">
        <v>0</v>
      </c>
      <c r="J157" s="402">
        <v>0</v>
      </c>
      <c r="K157" s="400">
        <v>801605.31868858659</v>
      </c>
      <c r="L157" s="400">
        <v>506649.92921823752</v>
      </c>
      <c r="M157" s="15">
        <v>1308255.2479068241</v>
      </c>
      <c r="N157" s="397">
        <v>-157000</v>
      </c>
      <c r="P157" s="713">
        <v>-1539143.9436778137</v>
      </c>
      <c r="Q157" s="714"/>
      <c r="R157" s="714"/>
      <c r="S157" s="715"/>
      <c r="T157" s="397">
        <v>4214830.6573673971</v>
      </c>
      <c r="U157" s="398">
        <v>742493.56166880974</v>
      </c>
      <c r="V157" s="403">
        <v>3418180.2753583929</v>
      </c>
      <c r="W157" s="416">
        <v>133396.38503987342</v>
      </c>
      <c r="X157" s="180"/>
      <c r="Y157" s="180"/>
      <c r="Z157" s="15"/>
    </row>
    <row r="158" spans="1:26" x14ac:dyDescent="0.25">
      <c r="A158" s="111">
        <v>5661</v>
      </c>
      <c r="B158" s="119" t="s">
        <v>249</v>
      </c>
      <c r="C158" s="400">
        <v>-452019.09309333534</v>
      </c>
      <c r="D158" s="400">
        <v>0</v>
      </c>
      <c r="E158" s="401">
        <v>-28642.848553635049</v>
      </c>
      <c r="F158" s="397">
        <v>-480661.9416469704</v>
      </c>
      <c r="G158" s="400">
        <v>-4648</v>
      </c>
      <c r="H158" s="400">
        <v>0</v>
      </c>
      <c r="I158" s="400">
        <v>-31246</v>
      </c>
      <c r="J158" s="402">
        <v>-35894</v>
      </c>
      <c r="K158" s="400">
        <v>173922.08555454519</v>
      </c>
      <c r="L158" s="400">
        <v>44213.751594223351</v>
      </c>
      <c r="M158" s="15">
        <v>218135.83714876854</v>
      </c>
      <c r="N158" s="397">
        <v>0</v>
      </c>
      <c r="P158" s="713">
        <v>-298420.10449820186</v>
      </c>
      <c r="Q158" s="714"/>
      <c r="R158" s="714"/>
      <c r="S158" s="715"/>
      <c r="T158" s="397">
        <v>367815.06312278227</v>
      </c>
      <c r="U158" s="398">
        <v>56022.159305357447</v>
      </c>
      <c r="V158" s="403">
        <v>125417.11792993786</v>
      </c>
      <c r="W158" s="416">
        <v>11641.084487707119</v>
      </c>
      <c r="X158" s="180"/>
      <c r="Y158" s="180"/>
      <c r="Z158" s="15"/>
    </row>
    <row r="159" spans="1:26" x14ac:dyDescent="0.25">
      <c r="A159" s="111">
        <v>5663</v>
      </c>
      <c r="B159" s="119" t="s">
        <v>250</v>
      </c>
      <c r="C159" s="400">
        <v>-271963.31597000652</v>
      </c>
      <c r="D159" s="400">
        <v>0</v>
      </c>
      <c r="E159" s="401">
        <v>-28270.211007816353</v>
      </c>
      <c r="F159" s="397">
        <v>-300233.52697782288</v>
      </c>
      <c r="G159" s="400">
        <v>-12338</v>
      </c>
      <c r="H159" s="400">
        <v>0</v>
      </c>
      <c r="I159" s="400">
        <v>-7068</v>
      </c>
      <c r="J159" s="402">
        <v>-19406</v>
      </c>
      <c r="K159" s="400">
        <v>115183.22816409194</v>
      </c>
      <c r="L159" s="400">
        <v>29281.402770844488</v>
      </c>
      <c r="M159" s="15">
        <v>144464.63093493643</v>
      </c>
      <c r="N159" s="397">
        <v>-18300</v>
      </c>
      <c r="P159" s="713">
        <v>-193474.89604288645</v>
      </c>
      <c r="Q159" s="714"/>
      <c r="R159" s="714"/>
      <c r="S159" s="715"/>
      <c r="T159" s="397">
        <v>243592.56159318826</v>
      </c>
      <c r="U159" s="398">
        <v>37101.74666397024</v>
      </c>
      <c r="V159" s="403">
        <v>87219.412214272044</v>
      </c>
      <c r="W159" s="416">
        <v>7709.5308876371691</v>
      </c>
      <c r="X159" s="180"/>
      <c r="Y159" s="180"/>
      <c r="Z159" s="15"/>
    </row>
    <row r="160" spans="1:26" x14ac:dyDescent="0.25">
      <c r="A160" s="111">
        <v>5665</v>
      </c>
      <c r="B160" s="119" t="s">
        <v>251</v>
      </c>
      <c r="C160" s="400">
        <v>-305925.50965221412</v>
      </c>
      <c r="D160" s="400">
        <v>0</v>
      </c>
      <c r="E160" s="401">
        <v>-45189.122389881639</v>
      </c>
      <c r="F160" s="397">
        <v>-351114.63204209576</v>
      </c>
      <c r="G160" s="400">
        <v>-34667</v>
      </c>
      <c r="H160" s="400">
        <v>-947</v>
      </c>
      <c r="I160" s="400">
        <v>0</v>
      </c>
      <c r="J160" s="402">
        <v>-35614</v>
      </c>
      <c r="K160" s="400">
        <v>109217.56296037404</v>
      </c>
      <c r="L160" s="400">
        <v>27764.836093470072</v>
      </c>
      <c r="M160" s="15">
        <v>136982.3990538441</v>
      </c>
      <c r="N160" s="397">
        <v>0</v>
      </c>
      <c r="P160" s="713">
        <v>-249746.23298825166</v>
      </c>
      <c r="Q160" s="714"/>
      <c r="R160" s="714"/>
      <c r="S160" s="715"/>
      <c r="T160" s="397">
        <v>230976.21378158886</v>
      </c>
      <c r="U160" s="398">
        <v>35180.14225507935</v>
      </c>
      <c r="V160" s="403">
        <v>16410.123048416543</v>
      </c>
      <c r="W160" s="416">
        <v>7310.2324751300648</v>
      </c>
      <c r="X160" s="180"/>
      <c r="Y160" s="180"/>
      <c r="Z160" s="15"/>
    </row>
    <row r="161" spans="1:26" x14ac:dyDescent="0.25">
      <c r="A161" s="111">
        <v>5669</v>
      </c>
      <c r="B161" s="119" t="s">
        <v>252</v>
      </c>
      <c r="C161" s="400">
        <v>-301517.40089121176</v>
      </c>
      <c r="D161" s="400">
        <v>0</v>
      </c>
      <c r="E161" s="401">
        <v>14089.561803095348</v>
      </c>
      <c r="F161" s="397">
        <v>-287427.83908811642</v>
      </c>
      <c r="G161" s="400">
        <v>-26650</v>
      </c>
      <c r="H161" s="400">
        <v>0</v>
      </c>
      <c r="I161" s="400">
        <v>0</v>
      </c>
      <c r="J161" s="402">
        <v>-26650</v>
      </c>
      <c r="K161" s="400">
        <v>142258.17024250398</v>
      </c>
      <c r="L161" s="400">
        <v>36164.282306620684</v>
      </c>
      <c r="M161" s="15">
        <v>178422.45254912466</v>
      </c>
      <c r="N161" s="397">
        <v>0</v>
      </c>
      <c r="P161" s="713">
        <v>-135655.38653899176</v>
      </c>
      <c r="Q161" s="714"/>
      <c r="R161" s="714"/>
      <c r="S161" s="715"/>
      <c r="T161" s="397">
        <v>300851.37089198548</v>
      </c>
      <c r="U161" s="398">
        <v>45822.874365859658</v>
      </c>
      <c r="V161" s="403">
        <v>211018.85871885339</v>
      </c>
      <c r="W161" s="416">
        <v>9521.7313751694128</v>
      </c>
      <c r="X161" s="180"/>
      <c r="Y161" s="180"/>
      <c r="Z161" s="15"/>
    </row>
    <row r="162" spans="1:26" x14ac:dyDescent="0.25">
      <c r="A162" s="111">
        <v>5671</v>
      </c>
      <c r="B162" s="119" t="s">
        <v>253</v>
      </c>
      <c r="C162" s="400">
        <v>-259052.65616186926</v>
      </c>
      <c r="D162" s="400">
        <v>0</v>
      </c>
      <c r="E162" s="401">
        <v>-29679.999641344766</v>
      </c>
      <c r="F162" s="397">
        <v>-288732.65580321406</v>
      </c>
      <c r="G162" s="400">
        <v>-13446</v>
      </c>
      <c r="H162" s="400">
        <v>-68</v>
      </c>
      <c r="I162" s="400">
        <v>0</v>
      </c>
      <c r="J162" s="402">
        <v>-13514</v>
      </c>
      <c r="K162" s="400">
        <v>116101.02281081778</v>
      </c>
      <c r="L162" s="400">
        <v>29514.720721209786</v>
      </c>
      <c r="M162" s="15">
        <v>145615.74353202758</v>
      </c>
      <c r="N162" s="397">
        <v>-25700</v>
      </c>
      <c r="P162" s="713">
        <v>-182330.91227118648</v>
      </c>
      <c r="Q162" s="714"/>
      <c r="R162" s="714"/>
      <c r="S162" s="715"/>
      <c r="T162" s="397">
        <v>245533.53817958815</v>
      </c>
      <c r="U162" s="398">
        <v>37397.378111491918</v>
      </c>
      <c r="V162" s="403">
        <v>100600.00401989359</v>
      </c>
      <c r="W162" s="416">
        <v>7770.9614126382621</v>
      </c>
      <c r="X162" s="180"/>
      <c r="Y162" s="180"/>
      <c r="Z162" s="15"/>
    </row>
    <row r="163" spans="1:26" x14ac:dyDescent="0.25">
      <c r="A163" s="111">
        <v>5673</v>
      </c>
      <c r="B163" s="119" t="s">
        <v>254</v>
      </c>
      <c r="C163" s="400">
        <v>-393258.59878787503</v>
      </c>
      <c r="D163" s="400">
        <v>0</v>
      </c>
      <c r="E163" s="401">
        <v>-46464.914920106632</v>
      </c>
      <c r="F163" s="397">
        <v>-439723.51370798168</v>
      </c>
      <c r="G163" s="400">
        <v>-19368</v>
      </c>
      <c r="H163" s="400">
        <v>-4922</v>
      </c>
      <c r="I163" s="400">
        <v>0</v>
      </c>
      <c r="J163" s="402">
        <v>-24290</v>
      </c>
      <c r="K163" s="400">
        <v>173004.29090781938</v>
      </c>
      <c r="L163" s="400">
        <v>43980.433643858058</v>
      </c>
      <c r="M163" s="15">
        <v>216984.72455167744</v>
      </c>
      <c r="N163" s="397">
        <v>-3700</v>
      </c>
      <c r="P163" s="713">
        <v>-250728.78915630424</v>
      </c>
      <c r="Q163" s="714"/>
      <c r="R163" s="714"/>
      <c r="S163" s="715"/>
      <c r="T163" s="397">
        <v>365874.08653638238</v>
      </c>
      <c r="U163" s="398">
        <v>55726.527857835776</v>
      </c>
      <c r="V163" s="403">
        <v>170871.82523791393</v>
      </c>
      <c r="W163" s="416">
        <v>11579.653962706027</v>
      </c>
      <c r="X163" s="180"/>
      <c r="Y163" s="180"/>
      <c r="Z163" s="15"/>
    </row>
    <row r="164" spans="1:26" x14ac:dyDescent="0.25">
      <c r="A164" s="111">
        <v>5674</v>
      </c>
      <c r="B164" s="119" t="s">
        <v>255</v>
      </c>
      <c r="C164" s="400">
        <v>-150230.85508073468</v>
      </c>
      <c r="D164" s="400">
        <v>0</v>
      </c>
      <c r="E164" s="401">
        <v>-26657.742980517618</v>
      </c>
      <c r="F164" s="397">
        <v>-176888.5980612523</v>
      </c>
      <c r="G164" s="400">
        <v>-25031</v>
      </c>
      <c r="H164" s="400">
        <v>-572</v>
      </c>
      <c r="I164" s="400">
        <v>0</v>
      </c>
      <c r="J164" s="402">
        <v>-25603</v>
      </c>
      <c r="K164" s="400">
        <v>65163.419917534076</v>
      </c>
      <c r="L164" s="400">
        <v>16565.574475935926</v>
      </c>
      <c r="M164" s="15">
        <v>81728.994393469999</v>
      </c>
      <c r="N164" s="397">
        <v>0</v>
      </c>
      <c r="P164" s="713">
        <v>-120762.6036677823</v>
      </c>
      <c r="Q164" s="714"/>
      <c r="R164" s="714"/>
      <c r="S164" s="715"/>
      <c r="T164" s="397">
        <v>137809.33763439336</v>
      </c>
      <c r="U164" s="398">
        <v>20989.83277403894</v>
      </c>
      <c r="V164" s="403">
        <v>38036.56674065</v>
      </c>
      <c r="W164" s="416">
        <v>4361.5672750776021</v>
      </c>
      <c r="X164" s="180"/>
      <c r="Y164" s="180"/>
      <c r="Z164" s="15"/>
    </row>
    <row r="165" spans="1:26" x14ac:dyDescent="0.25">
      <c r="A165" s="111">
        <v>5675</v>
      </c>
      <c r="B165" s="119" t="s">
        <v>256</v>
      </c>
      <c r="C165" s="400">
        <v>-6789569.4366875226</v>
      </c>
      <c r="D165" s="400">
        <v>-183754</v>
      </c>
      <c r="E165" s="401">
        <v>-486863.49029859516</v>
      </c>
      <c r="F165" s="397">
        <v>-7460186.9269861178</v>
      </c>
      <c r="G165" s="400">
        <v>0</v>
      </c>
      <c r="H165" s="400">
        <v>-13132</v>
      </c>
      <c r="I165" s="400">
        <v>-223559</v>
      </c>
      <c r="J165" s="402">
        <v>-236691</v>
      </c>
      <c r="K165" s="400">
        <v>783106.77234189631</v>
      </c>
      <c r="L165" s="400">
        <v>536514.62686499523</v>
      </c>
      <c r="M165" s="15">
        <v>1319621.3992068917</v>
      </c>
      <c r="N165" s="397">
        <v>0</v>
      </c>
      <c r="P165" s="713">
        <v>-6377256.5277792262</v>
      </c>
      <c r="Q165" s="714"/>
      <c r="R165" s="714"/>
      <c r="S165" s="715"/>
      <c r="T165" s="397">
        <v>4463275.660426585</v>
      </c>
      <c r="U165" s="398">
        <v>789950.39676007559</v>
      </c>
      <c r="V165" s="403">
        <v>-1124030.4705925656</v>
      </c>
      <c r="W165" s="416">
        <v>141259.49224001332</v>
      </c>
      <c r="X165" s="180"/>
      <c r="Y165" s="180"/>
      <c r="Z165" s="15"/>
    </row>
    <row r="166" spans="1:26" x14ac:dyDescent="0.25">
      <c r="A166" s="111">
        <v>5678</v>
      </c>
      <c r="B166" s="119" t="s">
        <v>257</v>
      </c>
      <c r="C166" s="400">
        <v>-9492977.3933130968</v>
      </c>
      <c r="D166" s="400">
        <v>-275083</v>
      </c>
      <c r="E166" s="401">
        <v>-562557.12187182973</v>
      </c>
      <c r="F166" s="397">
        <v>-10330617.515184926</v>
      </c>
      <c r="G166" s="400">
        <v>0</v>
      </c>
      <c r="H166" s="400">
        <v>-3739</v>
      </c>
      <c r="I166" s="400">
        <v>-435788</v>
      </c>
      <c r="J166" s="402">
        <v>-439527</v>
      </c>
      <c r="K166" s="400">
        <v>654773.10706173489</v>
      </c>
      <c r="L166" s="400">
        <v>743700.96678937692</v>
      </c>
      <c r="M166" s="15">
        <v>1398474.0738511118</v>
      </c>
      <c r="N166" s="397">
        <v>0</v>
      </c>
      <c r="P166" s="713">
        <v>-9371670.4413338136</v>
      </c>
      <c r="Q166" s="714"/>
      <c r="R166" s="714"/>
      <c r="S166" s="715"/>
      <c r="T166" s="397">
        <v>6186862.8691497017</v>
      </c>
      <c r="U166" s="398">
        <v>1136398.3535998417</v>
      </c>
      <c r="V166" s="403">
        <v>-2048409.2185842702</v>
      </c>
      <c r="W166" s="416">
        <v>195809.79844098387</v>
      </c>
      <c r="X166" s="180"/>
      <c r="Y166" s="180"/>
      <c r="Z166" s="15"/>
    </row>
    <row r="167" spans="1:26" x14ac:dyDescent="0.25">
      <c r="A167" s="111">
        <v>5680</v>
      </c>
      <c r="B167" s="119" t="s">
        <v>258</v>
      </c>
      <c r="C167" s="400">
        <v>-437467.78696240904</v>
      </c>
      <c r="D167" s="400">
        <v>-98</v>
      </c>
      <c r="E167" s="401">
        <v>-11208.513165717246</v>
      </c>
      <c r="F167" s="397">
        <v>-448774.30012812628</v>
      </c>
      <c r="G167" s="400">
        <v>-8139</v>
      </c>
      <c r="H167" s="400">
        <v>0</v>
      </c>
      <c r="I167" s="400">
        <v>-80663</v>
      </c>
      <c r="J167" s="402">
        <v>-88802</v>
      </c>
      <c r="K167" s="400">
        <v>152353.91135648816</v>
      </c>
      <c r="L167" s="400">
        <v>38730.779760638929</v>
      </c>
      <c r="M167" s="15">
        <v>191084.69111712708</v>
      </c>
      <c r="N167" s="397">
        <v>0</v>
      </c>
      <c r="P167" s="713">
        <v>-346491.60901099921</v>
      </c>
      <c r="Q167" s="714"/>
      <c r="R167" s="714"/>
      <c r="S167" s="715"/>
      <c r="T167" s="397">
        <v>322202.11334238446</v>
      </c>
      <c r="U167" s="398">
        <v>49074.820288598086</v>
      </c>
      <c r="V167" s="403">
        <v>24785.324619983337</v>
      </c>
      <c r="W167" s="416">
        <v>10197.467150181435</v>
      </c>
      <c r="X167" s="180"/>
      <c r="Y167" s="180"/>
      <c r="Z167" s="15"/>
    </row>
    <row r="168" spans="1:26" x14ac:dyDescent="0.25">
      <c r="A168" s="111">
        <v>5683</v>
      </c>
      <c r="B168" s="119" t="s">
        <v>259</v>
      </c>
      <c r="C168" s="400">
        <v>-271711.49519424338</v>
      </c>
      <c r="D168" s="400">
        <v>0</v>
      </c>
      <c r="E168" s="401">
        <v>-594.34058871113666</v>
      </c>
      <c r="F168" s="397">
        <v>-272305.83578295453</v>
      </c>
      <c r="G168" s="400">
        <v>-398</v>
      </c>
      <c r="H168" s="400">
        <v>-660</v>
      </c>
      <c r="I168" s="400">
        <v>-20114</v>
      </c>
      <c r="J168" s="402">
        <v>-21172</v>
      </c>
      <c r="K168" s="400">
        <v>103710.79508001903</v>
      </c>
      <c r="L168" s="400">
        <v>26364.928391278307</v>
      </c>
      <c r="M168" s="15">
        <v>130075.72347129733</v>
      </c>
      <c r="N168" s="397">
        <v>0</v>
      </c>
      <c r="P168" s="713">
        <v>-163402.1123116572</v>
      </c>
      <c r="Q168" s="714"/>
      <c r="R168" s="714"/>
      <c r="S168" s="715"/>
      <c r="T168" s="397">
        <v>219330.35426318942</v>
      </c>
      <c r="U168" s="398">
        <v>33406.3535699493</v>
      </c>
      <c r="V168" s="403">
        <v>89334.595521481533</v>
      </c>
      <c r="W168" s="416">
        <v>6941.649325123507</v>
      </c>
      <c r="X168" s="180"/>
      <c r="Y168" s="180"/>
      <c r="Z168" s="15"/>
    </row>
    <row r="169" spans="1:26" x14ac:dyDescent="0.25">
      <c r="A169" s="111">
        <v>5684</v>
      </c>
      <c r="B169" s="119" t="s">
        <v>260</v>
      </c>
      <c r="C169" s="400">
        <v>40564.04785481665</v>
      </c>
      <c r="D169" s="400">
        <v>0</v>
      </c>
      <c r="E169" s="401">
        <v>-16830.599875250355</v>
      </c>
      <c r="F169" s="397">
        <v>23733.447979566296</v>
      </c>
      <c r="G169" s="400">
        <v>-3929</v>
      </c>
      <c r="H169" s="400">
        <v>0</v>
      </c>
      <c r="I169" s="400">
        <v>0</v>
      </c>
      <c r="J169" s="402">
        <v>-3929</v>
      </c>
      <c r="K169" s="400">
        <v>40382.964455936613</v>
      </c>
      <c r="L169" s="400">
        <v>10265.989816072968</v>
      </c>
      <c r="M169" s="15">
        <v>50648.954272009578</v>
      </c>
      <c r="N169" s="397">
        <v>0</v>
      </c>
      <c r="P169" s="713">
        <v>70453.40225157587</v>
      </c>
      <c r="Q169" s="714"/>
      <c r="R169" s="714"/>
      <c r="S169" s="715"/>
      <c r="T169" s="397">
        <v>85402.969801595886</v>
      </c>
      <c r="U169" s="398">
        <v>13007.783690953711</v>
      </c>
      <c r="V169" s="403">
        <v>168864.15574412546</v>
      </c>
      <c r="W169" s="416">
        <v>2702.9431000480913</v>
      </c>
      <c r="X169" s="180"/>
      <c r="Y169" s="180"/>
      <c r="Z169" s="15"/>
    </row>
    <row r="170" spans="1:26" x14ac:dyDescent="0.25">
      <c r="A170" s="111">
        <v>5688</v>
      </c>
      <c r="B170" s="119" t="s">
        <v>261</v>
      </c>
      <c r="C170" s="400">
        <v>-155607.45575475201</v>
      </c>
      <c r="D170" s="400">
        <v>0</v>
      </c>
      <c r="E170" s="401">
        <v>-29735.881582858623</v>
      </c>
      <c r="F170" s="397">
        <v>-185343.33733761063</v>
      </c>
      <c r="G170" s="400">
        <v>-12834</v>
      </c>
      <c r="H170" s="400">
        <v>0</v>
      </c>
      <c r="I170" s="400">
        <v>-1238</v>
      </c>
      <c r="J170" s="402">
        <v>-14072</v>
      </c>
      <c r="K170" s="400">
        <v>76176.955678244078</v>
      </c>
      <c r="L170" s="400">
        <v>19365.389880319464</v>
      </c>
      <c r="M170" s="15">
        <v>95542.345558563538</v>
      </c>
      <c r="N170" s="397">
        <v>0</v>
      </c>
      <c r="P170" s="713">
        <v>-103872.99177904709</v>
      </c>
      <c r="Q170" s="714"/>
      <c r="R170" s="714"/>
      <c r="S170" s="715"/>
      <c r="T170" s="397">
        <v>161101.05667119223</v>
      </c>
      <c r="U170" s="398">
        <v>24537.410144299043</v>
      </c>
      <c r="V170" s="403">
        <v>81765.475036444172</v>
      </c>
      <c r="W170" s="416">
        <v>5098.7335750907177</v>
      </c>
      <c r="X170" s="180"/>
      <c r="Y170" s="180"/>
      <c r="Z170" s="15"/>
    </row>
    <row r="171" spans="1:26" x14ac:dyDescent="0.25">
      <c r="A171" s="111">
        <v>5690</v>
      </c>
      <c r="B171" s="119" t="s">
        <v>262</v>
      </c>
      <c r="C171" s="400">
        <v>-118941.73451044071</v>
      </c>
      <c r="D171" s="400">
        <v>0</v>
      </c>
      <c r="E171" s="401">
        <v>6126.9047368318425</v>
      </c>
      <c r="F171" s="397">
        <v>-112814.82977360887</v>
      </c>
      <c r="G171" s="400">
        <v>-33263</v>
      </c>
      <c r="H171" s="400">
        <v>-3190</v>
      </c>
      <c r="I171" s="400">
        <v>0</v>
      </c>
      <c r="J171" s="402">
        <v>-36453</v>
      </c>
      <c r="K171" s="400">
        <v>61951.138653993679</v>
      </c>
      <c r="L171" s="400">
        <v>15748.961649657394</v>
      </c>
      <c r="M171" s="15">
        <v>77700.100303651066</v>
      </c>
      <c r="N171" s="397">
        <v>0</v>
      </c>
      <c r="P171" s="713">
        <v>-71567.72946995782</v>
      </c>
      <c r="Q171" s="714"/>
      <c r="R171" s="714"/>
      <c r="S171" s="715"/>
      <c r="T171" s="397">
        <v>131015.91958199369</v>
      </c>
      <c r="U171" s="398">
        <v>19955.122707713079</v>
      </c>
      <c r="V171" s="403">
        <v>79403.312819748942</v>
      </c>
      <c r="W171" s="416">
        <v>4146.5604375737767</v>
      </c>
      <c r="X171" s="180"/>
      <c r="Y171" s="180"/>
      <c r="Z171" s="15"/>
    </row>
    <row r="172" spans="1:26" x14ac:dyDescent="0.25">
      <c r="A172" s="111">
        <v>5692</v>
      </c>
      <c r="B172" s="119" t="s">
        <v>263</v>
      </c>
      <c r="C172" s="400">
        <v>-663693.5121721793</v>
      </c>
      <c r="D172" s="400">
        <v>0</v>
      </c>
      <c r="E172" s="401">
        <v>-36501.533645272459</v>
      </c>
      <c r="F172" s="397">
        <v>-700195.04581745178</v>
      </c>
      <c r="G172" s="400">
        <v>0</v>
      </c>
      <c r="H172" s="400">
        <v>-10307</v>
      </c>
      <c r="I172" s="400">
        <v>-52192</v>
      </c>
      <c r="J172" s="402">
        <v>-62499</v>
      </c>
      <c r="K172" s="400">
        <v>291399.80033545167</v>
      </c>
      <c r="L172" s="400">
        <v>74078.449240981077</v>
      </c>
      <c r="M172" s="15">
        <v>365478.24957643275</v>
      </c>
      <c r="N172" s="397">
        <v>0</v>
      </c>
      <c r="P172" s="713">
        <v>-397215.79624101904</v>
      </c>
      <c r="Q172" s="714"/>
      <c r="R172" s="714"/>
      <c r="S172" s="715"/>
      <c r="T172" s="397">
        <v>616260.06618197029</v>
      </c>
      <c r="U172" s="398">
        <v>93862.984588131891</v>
      </c>
      <c r="V172" s="403">
        <v>312907.25452908315</v>
      </c>
      <c r="W172" s="416">
        <v>19504.191687847022</v>
      </c>
      <c r="X172" s="180"/>
      <c r="Y172" s="180"/>
      <c r="Z172" s="15"/>
    </row>
    <row r="173" spans="1:26" x14ac:dyDescent="0.25">
      <c r="A173" s="111">
        <v>5693</v>
      </c>
      <c r="B173" s="119" t="s">
        <v>264</v>
      </c>
      <c r="C173" s="400">
        <v>-3415045.005347346</v>
      </c>
      <c r="D173" s="400">
        <v>0</v>
      </c>
      <c r="E173" s="401">
        <v>-243586.44052653137</v>
      </c>
      <c r="F173" s="397">
        <v>-3658631.4458738775</v>
      </c>
      <c r="G173" s="400">
        <v>-118823</v>
      </c>
      <c r="H173" s="400">
        <v>-100880</v>
      </c>
      <c r="I173" s="400">
        <v>-129708</v>
      </c>
      <c r="J173" s="402">
        <v>-349411</v>
      </c>
      <c r="K173" s="400">
        <v>862370.79600686394</v>
      </c>
      <c r="L173" s="400">
        <v>330728.19464280526</v>
      </c>
      <c r="M173" s="15">
        <v>1193098.9906496692</v>
      </c>
      <c r="N173" s="397">
        <v>0</v>
      </c>
      <c r="P173" s="713">
        <v>-2814943.4552242085</v>
      </c>
      <c r="Q173" s="714"/>
      <c r="R173" s="714"/>
      <c r="S173" s="715"/>
      <c r="T173" s="397">
        <v>2751334.3112218673</v>
      </c>
      <c r="U173" s="398">
        <v>465009.08206661476</v>
      </c>
      <c r="V173" s="403">
        <v>401399.93806427356</v>
      </c>
      <c r="W173" s="416">
        <v>87077.769189049301</v>
      </c>
      <c r="X173" s="180"/>
      <c r="Y173" s="180"/>
      <c r="Z173" s="15"/>
    </row>
    <row r="174" spans="1:26" x14ac:dyDescent="0.25">
      <c r="A174" s="111">
        <v>5701</v>
      </c>
      <c r="B174" s="119" t="s">
        <v>265</v>
      </c>
      <c r="C174" s="400">
        <v>145295.9069375096</v>
      </c>
      <c r="D174" s="400">
        <v>0</v>
      </c>
      <c r="E174" s="401">
        <v>-19431.779656938477</v>
      </c>
      <c r="F174" s="397">
        <v>125864.12728057112</v>
      </c>
      <c r="G174" s="400">
        <v>-1934</v>
      </c>
      <c r="H174" s="400">
        <v>0</v>
      </c>
      <c r="I174" s="400">
        <v>0</v>
      </c>
      <c r="J174" s="402">
        <v>-1934</v>
      </c>
      <c r="K174" s="400">
        <v>111053.15225382568</v>
      </c>
      <c r="L174" s="400">
        <v>28231.471994200663</v>
      </c>
      <c r="M174" s="15">
        <v>139284.62424802635</v>
      </c>
      <c r="N174" s="397">
        <v>0</v>
      </c>
      <c r="P174" s="713">
        <v>263214.75152859744</v>
      </c>
      <c r="Q174" s="714"/>
      <c r="R174" s="714"/>
      <c r="S174" s="715"/>
      <c r="T174" s="397">
        <v>234858.16695438867</v>
      </c>
      <c r="U174" s="398">
        <v>35771.4051501227</v>
      </c>
      <c r="V174" s="403">
        <v>533844.32363310875</v>
      </c>
      <c r="W174" s="416">
        <v>7433.0935251322508</v>
      </c>
      <c r="X174" s="180"/>
      <c r="Y174" s="180"/>
      <c r="Z174" s="15"/>
    </row>
    <row r="175" spans="1:26" x14ac:dyDescent="0.25">
      <c r="A175" s="111">
        <v>5702</v>
      </c>
      <c r="B175" s="119" t="s">
        <v>266</v>
      </c>
      <c r="C175" s="400">
        <v>2328796.1172698135</v>
      </c>
      <c r="D175" s="400">
        <v>0</v>
      </c>
      <c r="E175" s="401">
        <v>42150.597393536358</v>
      </c>
      <c r="F175" s="397">
        <v>2370946.71466335</v>
      </c>
      <c r="G175" s="400">
        <v>-301152</v>
      </c>
      <c r="H175" s="400">
        <v>-350353</v>
      </c>
      <c r="I175" s="400">
        <v>0</v>
      </c>
      <c r="J175" s="402">
        <v>-651505</v>
      </c>
      <c r="K175" s="400">
        <v>892274.0070584045</v>
      </c>
      <c r="L175" s="400">
        <v>346593.81526764535</v>
      </c>
      <c r="M175" s="15">
        <v>1238867.8223260499</v>
      </c>
      <c r="N175" s="397">
        <v>0</v>
      </c>
      <c r="P175" s="713">
        <v>2958309.5369894002</v>
      </c>
      <c r="Q175" s="714"/>
      <c r="R175" s="714"/>
      <c r="S175" s="715"/>
      <c r="T175" s="397">
        <v>2883320.7190970611</v>
      </c>
      <c r="U175" s="398">
        <v>488517.69063859608</v>
      </c>
      <c r="V175" s="403">
        <v>6330147.9467250574</v>
      </c>
      <c r="W175" s="416">
        <v>91255.04488912363</v>
      </c>
      <c r="X175" s="180"/>
      <c r="Y175" s="180"/>
      <c r="Z175" s="15"/>
    </row>
    <row r="176" spans="1:26" x14ac:dyDescent="0.25">
      <c r="A176" s="111">
        <v>5703</v>
      </c>
      <c r="B176" s="119" t="s">
        <v>412</v>
      </c>
      <c r="C176" s="400">
        <v>-308721.88845256483</v>
      </c>
      <c r="D176" s="400">
        <v>0</v>
      </c>
      <c r="E176" s="401">
        <v>-83629.914261321304</v>
      </c>
      <c r="F176" s="397">
        <v>-392351.80271388614</v>
      </c>
      <c r="G176" s="400">
        <v>-97190</v>
      </c>
      <c r="H176" s="400">
        <v>-142473</v>
      </c>
      <c r="I176" s="400">
        <v>0</v>
      </c>
      <c r="J176" s="402">
        <v>-239663</v>
      </c>
      <c r="K176" s="400">
        <v>565097.69790625502</v>
      </c>
      <c r="L176" s="400">
        <v>173005.26019586605</v>
      </c>
      <c r="M176" s="15">
        <v>738102.95810212102</v>
      </c>
      <c r="N176" s="397">
        <v>0</v>
      </c>
      <c r="P176" s="713">
        <v>106088.15538823488</v>
      </c>
      <c r="Q176" s="714"/>
      <c r="R176" s="714"/>
      <c r="S176" s="715"/>
      <c r="T176" s="397">
        <v>1439234.1388155306</v>
      </c>
      <c r="U176" s="398">
        <v>231305.85567456533</v>
      </c>
      <c r="V176" s="403">
        <v>1776628.1498783308</v>
      </c>
      <c r="W176" s="416">
        <v>45550.734288310443</v>
      </c>
      <c r="X176" s="180"/>
      <c r="Y176" s="180"/>
      <c r="Z176" s="15"/>
    </row>
    <row r="177" spans="1:26" x14ac:dyDescent="0.25">
      <c r="A177" s="111">
        <v>5704</v>
      </c>
      <c r="B177" s="119" t="s">
        <v>267</v>
      </c>
      <c r="C177" s="400">
        <v>2271486.3283201419</v>
      </c>
      <c r="D177" s="400">
        <v>0</v>
      </c>
      <c r="E177" s="401">
        <v>166634.08193746919</v>
      </c>
      <c r="F177" s="397">
        <v>2438120.410257611</v>
      </c>
      <c r="G177" s="400">
        <v>0</v>
      </c>
      <c r="H177" s="400">
        <v>0</v>
      </c>
      <c r="I177" s="400">
        <v>0</v>
      </c>
      <c r="J177" s="402">
        <v>0</v>
      </c>
      <c r="K177" s="400">
        <v>680532.88762727554</v>
      </c>
      <c r="L177" s="400">
        <v>234251.22216675591</v>
      </c>
      <c r="M177" s="15">
        <v>914784.10979403148</v>
      </c>
      <c r="N177" s="397">
        <v>0</v>
      </c>
      <c r="P177" s="713">
        <v>3352904.5200516423</v>
      </c>
      <c r="Q177" s="714"/>
      <c r="R177" s="714"/>
      <c r="S177" s="715"/>
      <c r="T177" s="397">
        <v>1948740.4927455061</v>
      </c>
      <c r="U177" s="398">
        <v>322055.99905905197</v>
      </c>
      <c r="V177" s="403">
        <v>5623701.0118562011</v>
      </c>
      <c r="W177" s="416">
        <v>61676.247101097353</v>
      </c>
      <c r="X177" s="180"/>
      <c r="Y177" s="180"/>
      <c r="Z177" s="15"/>
    </row>
    <row r="178" spans="1:26" x14ac:dyDescent="0.25">
      <c r="A178" s="111">
        <v>5705</v>
      </c>
      <c r="B178" s="119" t="s">
        <v>268</v>
      </c>
      <c r="C178" s="400">
        <v>445128.44502352842</v>
      </c>
      <c r="D178" s="400">
        <v>0</v>
      </c>
      <c r="E178" s="401">
        <v>-52160.615879217017</v>
      </c>
      <c r="F178" s="397">
        <v>392967.82914431137</v>
      </c>
      <c r="G178" s="400">
        <v>0</v>
      </c>
      <c r="H178" s="400">
        <v>0</v>
      </c>
      <c r="I178" s="400">
        <v>0</v>
      </c>
      <c r="J178" s="402">
        <v>0</v>
      </c>
      <c r="K178" s="400">
        <v>451096.06886574649</v>
      </c>
      <c r="L178" s="400">
        <v>114675.77260454236</v>
      </c>
      <c r="M178" s="15">
        <v>565771.84147028881</v>
      </c>
      <c r="N178" s="397">
        <v>0</v>
      </c>
      <c r="P178" s="713">
        <v>958739.67061460018</v>
      </c>
      <c r="Q178" s="714"/>
      <c r="R178" s="714"/>
      <c r="S178" s="715"/>
      <c r="T178" s="397">
        <v>953989.992215554</v>
      </c>
      <c r="U178" s="398">
        <v>145302.85645690336</v>
      </c>
      <c r="V178" s="403">
        <v>2058032.5192870575</v>
      </c>
      <c r="W178" s="416">
        <v>30193.103038037199</v>
      </c>
      <c r="X178" s="180"/>
      <c r="Y178" s="180"/>
      <c r="Z178" s="15"/>
    </row>
    <row r="179" spans="1:26" x14ac:dyDescent="0.25">
      <c r="A179" s="111">
        <v>5706</v>
      </c>
      <c r="B179" s="119" t="s">
        <v>269</v>
      </c>
      <c r="C179" s="400">
        <v>828742.93834083481</v>
      </c>
      <c r="D179" s="400">
        <v>0</v>
      </c>
      <c r="E179" s="401">
        <v>-146502.97702737671</v>
      </c>
      <c r="F179" s="397">
        <v>682239.96131345816</v>
      </c>
      <c r="G179" s="400">
        <v>0</v>
      </c>
      <c r="H179" s="400">
        <v>0</v>
      </c>
      <c r="I179" s="400">
        <v>0</v>
      </c>
      <c r="J179" s="402">
        <v>0</v>
      </c>
      <c r="K179" s="400">
        <v>488580.6578626071</v>
      </c>
      <c r="L179" s="400">
        <v>132407.93683230475</v>
      </c>
      <c r="M179" s="15">
        <v>620988.59469491185</v>
      </c>
      <c r="N179" s="397">
        <v>0</v>
      </c>
      <c r="P179" s="713">
        <v>1303228.5560083701</v>
      </c>
      <c r="Q179" s="714"/>
      <c r="R179" s="714"/>
      <c r="S179" s="715"/>
      <c r="T179" s="397">
        <v>1101504.2127819469</v>
      </c>
      <c r="U179" s="398">
        <v>171151.47491684847</v>
      </c>
      <c r="V179" s="403">
        <v>2575884.2437071651</v>
      </c>
      <c r="W179" s="416">
        <v>34861.822938120269</v>
      </c>
      <c r="X179" s="180"/>
      <c r="Y179" s="180"/>
      <c r="Z179" s="15"/>
    </row>
    <row r="180" spans="1:26" x14ac:dyDescent="0.25">
      <c r="A180" s="111">
        <v>5707</v>
      </c>
      <c r="B180" s="119" t="s">
        <v>270</v>
      </c>
      <c r="C180" s="400">
        <v>1247894.5520732387</v>
      </c>
      <c r="D180" s="400">
        <v>0</v>
      </c>
      <c r="E180" s="401">
        <v>308537.80243069329</v>
      </c>
      <c r="F180" s="397">
        <v>1556432.3545039319</v>
      </c>
      <c r="G180" s="400">
        <v>0</v>
      </c>
      <c r="H180" s="400">
        <v>0</v>
      </c>
      <c r="I180" s="400">
        <v>0</v>
      </c>
      <c r="J180" s="402">
        <v>0</v>
      </c>
      <c r="K180" s="400">
        <v>545528.68479164387</v>
      </c>
      <c r="L180" s="400">
        <v>162622.61140461042</v>
      </c>
      <c r="M180" s="15">
        <v>708151.29619625432</v>
      </c>
      <c r="N180" s="397">
        <v>0</v>
      </c>
      <c r="P180" s="713">
        <v>2264583.6507001864</v>
      </c>
      <c r="Q180" s="714"/>
      <c r="R180" s="714"/>
      <c r="S180" s="715"/>
      <c r="T180" s="397">
        <v>1352860.6807207349</v>
      </c>
      <c r="U180" s="398">
        <v>215921.54565319521</v>
      </c>
      <c r="V180" s="403">
        <v>3833365.8770741164</v>
      </c>
      <c r="W180" s="416">
        <v>42817.075925761805</v>
      </c>
      <c r="X180" s="180"/>
      <c r="Y180" s="180"/>
      <c r="Z180" s="15"/>
    </row>
    <row r="181" spans="1:26" x14ac:dyDescent="0.25">
      <c r="A181" s="111">
        <v>5708</v>
      </c>
      <c r="B181" s="119" t="s">
        <v>271</v>
      </c>
      <c r="C181" s="400">
        <v>1568557.2393599991</v>
      </c>
      <c r="D181" s="400">
        <v>0</v>
      </c>
      <c r="E181" s="401">
        <v>-38424.516748614871</v>
      </c>
      <c r="F181" s="397">
        <v>1530132.7226113842</v>
      </c>
      <c r="G181" s="400">
        <v>0</v>
      </c>
      <c r="H181" s="400">
        <v>0</v>
      </c>
      <c r="I181" s="400">
        <v>-52462</v>
      </c>
      <c r="J181" s="402">
        <v>-52462</v>
      </c>
      <c r="K181" s="400">
        <v>461315.96543326124</v>
      </c>
      <c r="L181" s="400">
        <v>117942.22390965649</v>
      </c>
      <c r="M181" s="15">
        <v>579258.18934291776</v>
      </c>
      <c r="N181" s="397">
        <v>0</v>
      </c>
      <c r="P181" s="713">
        <v>2056928.9119543019</v>
      </c>
      <c r="Q181" s="714"/>
      <c r="R181" s="714"/>
      <c r="S181" s="715"/>
      <c r="T181" s="397">
        <v>981163.6644251527</v>
      </c>
      <c r="U181" s="398">
        <v>149717.15533651254</v>
      </c>
      <c r="V181" s="403">
        <v>3187809.7317159674</v>
      </c>
      <c r="W181" s="416">
        <v>31053.130388052501</v>
      </c>
      <c r="X181" s="180"/>
      <c r="Y181" s="180"/>
      <c r="Z181" s="15"/>
    </row>
    <row r="182" spans="1:26" x14ac:dyDescent="0.25">
      <c r="A182" s="111">
        <v>5709</v>
      </c>
      <c r="B182" s="119" t="s">
        <v>272</v>
      </c>
      <c r="C182" s="400">
        <v>2555079.3600388649</v>
      </c>
      <c r="D182" s="400">
        <v>0</v>
      </c>
      <c r="E182" s="401">
        <v>-88506.198191130126</v>
      </c>
      <c r="F182" s="397">
        <v>2466573.1618477348</v>
      </c>
      <c r="G182" s="400">
        <v>-4487</v>
      </c>
      <c r="H182" s="400">
        <v>0</v>
      </c>
      <c r="I182" s="400">
        <v>0</v>
      </c>
      <c r="J182" s="402">
        <v>-4487</v>
      </c>
      <c r="K182" s="400">
        <v>519583.25167339551</v>
      </c>
      <c r="L182" s="400">
        <v>148856.85233305805</v>
      </c>
      <c r="M182" s="15">
        <v>668440.10400645353</v>
      </c>
      <c r="N182" s="397">
        <v>0</v>
      </c>
      <c r="P182" s="713">
        <v>3130526.2658541882</v>
      </c>
      <c r="Q182" s="714"/>
      <c r="R182" s="714"/>
      <c r="S182" s="715"/>
      <c r="T182" s="397">
        <v>1238343.0621231403</v>
      </c>
      <c r="U182" s="398">
        <v>195524.370568682</v>
      </c>
      <c r="V182" s="403">
        <v>4564393.698546011</v>
      </c>
      <c r="W182" s="416">
        <v>39192.674950697321</v>
      </c>
      <c r="X182" s="180"/>
      <c r="Y182" s="180"/>
      <c r="Z182" s="15"/>
    </row>
    <row r="183" spans="1:26" x14ac:dyDescent="0.25">
      <c r="A183" s="111">
        <v>5710</v>
      </c>
      <c r="B183" s="119" t="s">
        <v>273</v>
      </c>
      <c r="C183" s="400">
        <v>291641.40996086947</v>
      </c>
      <c r="D183" s="400">
        <v>0</v>
      </c>
      <c r="E183" s="401">
        <v>-6032.9529006242374</v>
      </c>
      <c r="F183" s="397">
        <v>285608.45706024521</v>
      </c>
      <c r="G183" s="400">
        <v>0</v>
      </c>
      <c r="H183" s="400">
        <v>0</v>
      </c>
      <c r="I183" s="400">
        <v>0</v>
      </c>
      <c r="J183" s="402">
        <v>0</v>
      </c>
      <c r="K183" s="400">
        <v>238167.71082535342</v>
      </c>
      <c r="L183" s="400">
        <v>60546.008119793987</v>
      </c>
      <c r="M183" s="15">
        <v>298713.71894514741</v>
      </c>
      <c r="N183" s="397">
        <v>0</v>
      </c>
      <c r="P183" s="713">
        <v>584322.17600539257</v>
      </c>
      <c r="Q183" s="714"/>
      <c r="R183" s="714"/>
      <c r="S183" s="715"/>
      <c r="T183" s="397">
        <v>503683.42417077569</v>
      </c>
      <c r="U183" s="398">
        <v>76716.360631874719</v>
      </c>
      <c r="V183" s="403">
        <v>1164721.9608080429</v>
      </c>
      <c r="W183" s="416">
        <v>15941.221237783629</v>
      </c>
      <c r="X183" s="180"/>
      <c r="Y183" s="180"/>
      <c r="Z183" s="15"/>
    </row>
    <row r="184" spans="1:26" x14ac:dyDescent="0.25">
      <c r="A184" s="111">
        <v>5711</v>
      </c>
      <c r="B184" s="119" t="s">
        <v>274</v>
      </c>
      <c r="C184" s="400">
        <v>6236160.435618625</v>
      </c>
      <c r="D184" s="400">
        <v>0</v>
      </c>
      <c r="E184" s="401">
        <v>208665.33242472378</v>
      </c>
      <c r="F184" s="397">
        <v>6444825.7680433486</v>
      </c>
      <c r="G184" s="400">
        <v>0</v>
      </c>
      <c r="H184" s="400">
        <v>0</v>
      </c>
      <c r="I184" s="400">
        <v>0</v>
      </c>
      <c r="J184" s="402">
        <v>0</v>
      </c>
      <c r="K184" s="400">
        <v>897111.29119909485</v>
      </c>
      <c r="L184" s="400">
        <v>349160.31272166356</v>
      </c>
      <c r="M184" s="15">
        <v>1246271.6039207585</v>
      </c>
      <c r="N184" s="397">
        <v>0</v>
      </c>
      <c r="P184" s="713">
        <v>7691097.3719641073</v>
      </c>
      <c r="Q184" s="714"/>
      <c r="R184" s="714"/>
      <c r="S184" s="715"/>
      <c r="T184" s="397">
        <v>2904671.4615474599</v>
      </c>
      <c r="U184" s="398">
        <v>492320.55378994602</v>
      </c>
      <c r="V184" s="403">
        <v>11088089.387301512</v>
      </c>
      <c r="W184" s="416">
        <v>91930.780664135644</v>
      </c>
      <c r="X184" s="180"/>
      <c r="Y184" s="180"/>
      <c r="Z184" s="15"/>
    </row>
    <row r="185" spans="1:26" x14ac:dyDescent="0.25">
      <c r="A185" s="111">
        <v>5712</v>
      </c>
      <c r="B185" s="119" t="s">
        <v>275</v>
      </c>
      <c r="C185" s="400">
        <v>12057955.562506117</v>
      </c>
      <c r="D185" s="400">
        <v>0</v>
      </c>
      <c r="E185" s="401">
        <v>907866.78723952395</v>
      </c>
      <c r="F185" s="397">
        <v>12965822.349745641</v>
      </c>
      <c r="G185" s="400">
        <v>0</v>
      </c>
      <c r="H185" s="400">
        <v>0</v>
      </c>
      <c r="I185" s="400">
        <v>0</v>
      </c>
      <c r="J185" s="402">
        <v>0</v>
      </c>
      <c r="K185" s="400">
        <v>885426.85682202515</v>
      </c>
      <c r="L185" s="400">
        <v>371325.51800636656</v>
      </c>
      <c r="M185" s="15">
        <v>1256752.3748283917</v>
      </c>
      <c r="N185" s="397">
        <v>0</v>
      </c>
      <c r="P185" s="713">
        <v>14222574.724574033</v>
      </c>
      <c r="Q185" s="714"/>
      <c r="R185" s="714"/>
      <c r="S185" s="715"/>
      <c r="T185" s="397">
        <v>3089064.2372554513</v>
      </c>
      <c r="U185" s="398">
        <v>527454.77766151121</v>
      </c>
      <c r="V185" s="403">
        <v>17839093.739490993</v>
      </c>
      <c r="W185" s="416">
        <v>97766.680539239474</v>
      </c>
      <c r="X185" s="180"/>
      <c r="Y185" s="180"/>
      <c r="Z185" s="15"/>
    </row>
    <row r="186" spans="1:26" x14ac:dyDescent="0.25">
      <c r="A186" s="111">
        <v>5713</v>
      </c>
      <c r="B186" s="119" t="s">
        <v>276</v>
      </c>
      <c r="C186" s="400">
        <v>9741669.5389317553</v>
      </c>
      <c r="D186" s="400">
        <v>0</v>
      </c>
      <c r="E186" s="401">
        <v>380708.01116355846</v>
      </c>
      <c r="F186" s="397">
        <v>10122377.550095314</v>
      </c>
      <c r="G186" s="400">
        <v>0</v>
      </c>
      <c r="H186" s="400">
        <v>0</v>
      </c>
      <c r="I186" s="400">
        <v>0</v>
      </c>
      <c r="J186" s="402">
        <v>0</v>
      </c>
      <c r="K186" s="400">
        <v>772001.53319669364</v>
      </c>
      <c r="L186" s="400">
        <v>282781.35584273719</v>
      </c>
      <c r="M186" s="15">
        <v>1054782.8890394308</v>
      </c>
      <c r="N186" s="397">
        <v>0</v>
      </c>
      <c r="P186" s="713">
        <v>11177160.439134745</v>
      </c>
      <c r="Q186" s="714"/>
      <c r="R186" s="714"/>
      <c r="S186" s="715"/>
      <c r="T186" s="397">
        <v>2352463.6227166867</v>
      </c>
      <c r="U186" s="398">
        <v>74453.796301324692</v>
      </c>
      <c r="V186" s="403">
        <v>13604077.858152755</v>
      </c>
      <c r="W186" s="416">
        <v>74453.796301324692</v>
      </c>
      <c r="X186" s="180"/>
      <c r="Y186" s="180"/>
      <c r="Z186" s="15"/>
    </row>
    <row r="187" spans="1:26" x14ac:dyDescent="0.25">
      <c r="A187" s="111">
        <v>5714</v>
      </c>
      <c r="B187" s="119" t="s">
        <v>277</v>
      </c>
      <c r="C187" s="400">
        <v>219552.37812100849</v>
      </c>
      <c r="D187" s="400">
        <v>0</v>
      </c>
      <c r="E187" s="401">
        <v>53893.69225916249</v>
      </c>
      <c r="F187" s="397">
        <v>273446.07038017095</v>
      </c>
      <c r="G187" s="400">
        <v>0</v>
      </c>
      <c r="H187" s="400">
        <v>0</v>
      </c>
      <c r="I187" s="400">
        <v>0</v>
      </c>
      <c r="J187" s="402">
        <v>0</v>
      </c>
      <c r="K187" s="400">
        <v>518923.62201784668</v>
      </c>
      <c r="L187" s="400">
        <v>148506.87540751009</v>
      </c>
      <c r="M187" s="15">
        <v>667430.49742535676</v>
      </c>
      <c r="N187" s="397">
        <v>0</v>
      </c>
      <c r="P187" s="713">
        <v>940876.56780552771</v>
      </c>
      <c r="Q187" s="714"/>
      <c r="R187" s="714"/>
      <c r="S187" s="715"/>
      <c r="T187" s="397">
        <v>1235431.5972435405</v>
      </c>
      <c r="U187" s="398">
        <v>195005.79832077067</v>
      </c>
      <c r="V187" s="403">
        <v>2371313.9633698389</v>
      </c>
      <c r="W187" s="416">
        <v>39100.529163195679</v>
      </c>
      <c r="X187" s="180"/>
      <c r="Y187" s="180"/>
      <c r="Z187" s="15"/>
    </row>
    <row r="188" spans="1:26" x14ac:dyDescent="0.25">
      <c r="A188" s="111">
        <v>5715</v>
      </c>
      <c r="B188" s="119" t="s">
        <v>278</v>
      </c>
      <c r="C188" s="400">
        <v>414794.2810819929</v>
      </c>
      <c r="D188" s="400">
        <v>0</v>
      </c>
      <c r="E188" s="401">
        <v>-5505.4406920925539</v>
      </c>
      <c r="F188" s="397">
        <v>409288.84038990038</v>
      </c>
      <c r="G188" s="400">
        <v>0</v>
      </c>
      <c r="H188" s="400">
        <v>0</v>
      </c>
      <c r="I188" s="400">
        <v>0</v>
      </c>
      <c r="J188" s="402">
        <v>0</v>
      </c>
      <c r="K188" s="400">
        <v>484183.12682561576</v>
      </c>
      <c r="L188" s="400">
        <v>130074.75732865182</v>
      </c>
      <c r="M188" s="15">
        <v>614257.88415426761</v>
      </c>
      <c r="N188" s="397">
        <v>0</v>
      </c>
      <c r="P188" s="713">
        <v>1023546.724544168</v>
      </c>
      <c r="Q188" s="714"/>
      <c r="R188" s="714"/>
      <c r="S188" s="715"/>
      <c r="T188" s="397">
        <v>1082094.4469179478</v>
      </c>
      <c r="U188" s="398">
        <v>167694.32659743945</v>
      </c>
      <c r="V188" s="403">
        <v>2273335.4980595554</v>
      </c>
      <c r="W188" s="416">
        <v>34247.517688109336</v>
      </c>
      <c r="X188" s="180"/>
      <c r="Y188" s="180"/>
      <c r="Z188" s="15"/>
    </row>
    <row r="189" spans="1:26" x14ac:dyDescent="0.25">
      <c r="A189" s="111">
        <v>5716</v>
      </c>
      <c r="B189" s="119" t="s">
        <v>279</v>
      </c>
      <c r="C189" s="400">
        <v>9655935.3479952049</v>
      </c>
      <c r="D189" s="400">
        <v>0</v>
      </c>
      <c r="E189" s="401">
        <v>36774.14064704132</v>
      </c>
      <c r="F189" s="397">
        <v>9692709.4886422455</v>
      </c>
      <c r="G189" s="400">
        <v>0</v>
      </c>
      <c r="H189" s="400">
        <v>0</v>
      </c>
      <c r="I189" s="400">
        <v>-98823</v>
      </c>
      <c r="J189" s="402">
        <v>-98823</v>
      </c>
      <c r="K189" s="400">
        <v>621386.09517974313</v>
      </c>
      <c r="L189" s="400">
        <v>202869.95784262379</v>
      </c>
      <c r="M189" s="15">
        <v>824256.05302236695</v>
      </c>
      <c r="N189" s="397">
        <v>0</v>
      </c>
      <c r="P189" s="713">
        <v>10418142.541664612</v>
      </c>
      <c r="Q189" s="714"/>
      <c r="R189" s="714"/>
      <c r="S189" s="715"/>
      <c r="T189" s="397">
        <v>1687679.1418747187</v>
      </c>
      <c r="U189" s="398">
        <v>275557.35416300071</v>
      </c>
      <c r="V189" s="403">
        <v>12381379.037702331</v>
      </c>
      <c r="W189" s="416">
        <v>53413.841488450344</v>
      </c>
      <c r="X189" s="180"/>
      <c r="Y189" s="180"/>
      <c r="Z189" s="15"/>
    </row>
    <row r="190" spans="1:26" x14ac:dyDescent="0.25">
      <c r="A190" s="111">
        <v>5717</v>
      </c>
      <c r="B190" s="119" t="s">
        <v>280</v>
      </c>
      <c r="C190" s="400">
        <v>10958788.62907772</v>
      </c>
      <c r="D190" s="400">
        <v>0</v>
      </c>
      <c r="E190" s="401">
        <v>29708.855830121087</v>
      </c>
      <c r="F190" s="397">
        <v>10988497.484907841</v>
      </c>
      <c r="G190" s="400">
        <v>0</v>
      </c>
      <c r="H190" s="400">
        <v>0</v>
      </c>
      <c r="I190" s="400">
        <v>0</v>
      </c>
      <c r="J190" s="402">
        <v>0</v>
      </c>
      <c r="K190" s="400">
        <v>841420.54930196982</v>
      </c>
      <c r="L190" s="400">
        <v>442370.83389259881</v>
      </c>
      <c r="M190" s="15">
        <v>1283791.3831945686</v>
      </c>
      <c r="N190" s="397">
        <v>0</v>
      </c>
      <c r="P190" s="713">
        <v>12272288.868102409</v>
      </c>
      <c r="Q190" s="714"/>
      <c r="R190" s="714"/>
      <c r="S190" s="715"/>
      <c r="T190" s="397">
        <v>3680091.6078142226</v>
      </c>
      <c r="U190" s="398">
        <v>640350.13926534285</v>
      </c>
      <c r="V190" s="403">
        <v>16592730.615181975</v>
      </c>
      <c r="W190" s="416">
        <v>116472.27540207229</v>
      </c>
      <c r="X190" s="180"/>
      <c r="Y190" s="180"/>
      <c r="Z190" s="15"/>
    </row>
    <row r="191" spans="1:26" x14ac:dyDescent="0.25">
      <c r="A191" s="111">
        <v>5718</v>
      </c>
      <c r="B191" s="119" t="s">
        <v>281</v>
      </c>
      <c r="C191" s="400">
        <v>5203318.0975521998</v>
      </c>
      <c r="D191" s="400">
        <v>0</v>
      </c>
      <c r="E191" s="401">
        <v>89343.967434542952</v>
      </c>
      <c r="F191" s="397">
        <v>5292662.064986743</v>
      </c>
      <c r="G191" s="400">
        <v>0</v>
      </c>
      <c r="H191" s="400">
        <v>0</v>
      </c>
      <c r="I191" s="400">
        <v>0</v>
      </c>
      <c r="J191" s="402">
        <v>0</v>
      </c>
      <c r="K191" s="400">
        <v>687129.18418276228</v>
      </c>
      <c r="L191" s="400">
        <v>237750.99142223533</v>
      </c>
      <c r="M191" s="15">
        <v>924880.17560499767</v>
      </c>
      <c r="N191" s="397">
        <v>0</v>
      </c>
      <c r="P191" s="713">
        <v>6217542.2405917402</v>
      </c>
      <c r="Q191" s="714"/>
      <c r="R191" s="714"/>
      <c r="S191" s="715"/>
      <c r="T191" s="397">
        <v>1977855.1415415045</v>
      </c>
      <c r="U191" s="398">
        <v>327241.72153816547</v>
      </c>
      <c r="V191" s="403">
        <v>8522639.1036714092</v>
      </c>
      <c r="W191" s="416">
        <v>62597.704976113746</v>
      </c>
      <c r="X191" s="180"/>
      <c r="Y191" s="180"/>
      <c r="Z191" s="15"/>
    </row>
    <row r="192" spans="1:26" x14ac:dyDescent="0.25">
      <c r="A192" s="111">
        <v>5719</v>
      </c>
      <c r="B192" s="119" t="s">
        <v>282</v>
      </c>
      <c r="C192" s="400">
        <v>4417648.8638333408</v>
      </c>
      <c r="D192" s="400">
        <v>0</v>
      </c>
      <c r="E192" s="401">
        <v>127339.39224356879</v>
      </c>
      <c r="F192" s="397">
        <v>4544988.2560769096</v>
      </c>
      <c r="G192" s="400">
        <v>-27537</v>
      </c>
      <c r="H192" s="400">
        <v>-373</v>
      </c>
      <c r="I192" s="400">
        <v>0</v>
      </c>
      <c r="J192" s="402">
        <v>-27910</v>
      </c>
      <c r="K192" s="400">
        <v>516504.9799475015</v>
      </c>
      <c r="L192" s="400">
        <v>147223.62668050098</v>
      </c>
      <c r="M192" s="15">
        <v>663728.60662800248</v>
      </c>
      <c r="N192" s="397">
        <v>0</v>
      </c>
      <c r="P192" s="713">
        <v>5180806.8627049122</v>
      </c>
      <c r="Q192" s="714"/>
      <c r="R192" s="714"/>
      <c r="S192" s="715"/>
      <c r="T192" s="397">
        <v>1224756.226018341</v>
      </c>
      <c r="U192" s="398">
        <v>193104.3667450957</v>
      </c>
      <c r="V192" s="403">
        <v>6598667.4554683492</v>
      </c>
      <c r="W192" s="416">
        <v>38762.661275689672</v>
      </c>
      <c r="X192" s="180"/>
      <c r="Y192" s="180"/>
      <c r="Z192" s="15"/>
    </row>
    <row r="193" spans="1:26" x14ac:dyDescent="0.25">
      <c r="A193" s="111">
        <v>5720</v>
      </c>
      <c r="B193" s="119" t="s">
        <v>283</v>
      </c>
      <c r="C193" s="400">
        <v>1611737.2948534121</v>
      </c>
      <c r="D193" s="400">
        <v>0</v>
      </c>
      <c r="E193" s="401">
        <v>8976.5787172714772</v>
      </c>
      <c r="F193" s="397">
        <v>1620713.8735706836</v>
      </c>
      <c r="G193" s="400">
        <v>0</v>
      </c>
      <c r="H193" s="400">
        <v>0</v>
      </c>
      <c r="I193" s="400">
        <v>0</v>
      </c>
      <c r="J193" s="402">
        <v>0</v>
      </c>
      <c r="K193" s="400">
        <v>463074.97784805775</v>
      </c>
      <c r="L193" s="400">
        <v>118875.49571111766</v>
      </c>
      <c r="M193" s="15">
        <v>581950.47355917539</v>
      </c>
      <c r="N193" s="397">
        <v>0</v>
      </c>
      <c r="P193" s="713">
        <v>2202664.347129859</v>
      </c>
      <c r="Q193" s="714"/>
      <c r="R193" s="714"/>
      <c r="S193" s="715"/>
      <c r="T193" s="397">
        <v>988927.57077075227</v>
      </c>
      <c r="U193" s="398">
        <v>151100.01466427618</v>
      </c>
      <c r="V193" s="403">
        <v>3342691.9325648872</v>
      </c>
      <c r="W193" s="416">
        <v>31298.852488056873</v>
      </c>
      <c r="X193" s="180"/>
      <c r="Y193" s="180"/>
      <c r="Z193" s="15"/>
    </row>
    <row r="194" spans="1:26" x14ac:dyDescent="0.25">
      <c r="A194" s="111">
        <v>5721</v>
      </c>
      <c r="B194" s="119" t="s">
        <v>284</v>
      </c>
      <c r="C194" s="400">
        <v>2312742.4918075958</v>
      </c>
      <c r="D194" s="400">
        <v>0</v>
      </c>
      <c r="E194" s="401">
        <v>321078.56890342105</v>
      </c>
      <c r="F194" s="397">
        <v>2633821.0607110169</v>
      </c>
      <c r="G194" s="400">
        <v>0</v>
      </c>
      <c r="H194" s="400">
        <v>0</v>
      </c>
      <c r="I194" s="400">
        <v>0</v>
      </c>
      <c r="J194" s="402">
        <v>0</v>
      </c>
      <c r="K194" s="400">
        <v>-681649.82173626777</v>
      </c>
      <c r="L194" s="400">
        <v>1356369.8671526797</v>
      </c>
      <c r="M194" s="15">
        <v>674720.04541641194</v>
      </c>
      <c r="N194" s="397">
        <v>0</v>
      </c>
      <c r="P194" s="713">
        <v>3308541.1061274288</v>
      </c>
      <c r="Q194" s="714"/>
      <c r="R194" s="714"/>
      <c r="S194" s="715"/>
      <c r="T194" s="397">
        <v>13563544.385762546</v>
      </c>
      <c r="U194" s="398">
        <v>2690111.8586827028</v>
      </c>
      <c r="V194" s="403">
        <v>19562197.350572679</v>
      </c>
      <c r="W194" s="416">
        <v>429276.50870763772</v>
      </c>
      <c r="X194" s="180"/>
      <c r="Y194" s="180"/>
      <c r="Z194" s="15"/>
    </row>
    <row r="195" spans="1:26" x14ac:dyDescent="0.25">
      <c r="A195" s="111">
        <v>5722</v>
      </c>
      <c r="B195" s="119" t="s">
        <v>285</v>
      </c>
      <c r="C195" s="400">
        <v>133890.93036511578</v>
      </c>
      <c r="D195" s="400">
        <v>0</v>
      </c>
      <c r="E195" s="401">
        <v>426745.55782843026</v>
      </c>
      <c r="F195" s="397">
        <v>560636.48819354607</v>
      </c>
      <c r="G195" s="400">
        <v>0</v>
      </c>
      <c r="H195" s="400">
        <v>0</v>
      </c>
      <c r="I195" s="400">
        <v>0</v>
      </c>
      <c r="J195" s="402">
        <v>0</v>
      </c>
      <c r="K195" s="400">
        <v>179887.75075826311</v>
      </c>
      <c r="L195" s="400">
        <v>45730.318271597767</v>
      </c>
      <c r="M195" s="15">
        <v>225618.06902986087</v>
      </c>
      <c r="N195" s="397">
        <v>0</v>
      </c>
      <c r="P195" s="713">
        <v>786254.55722340697</v>
      </c>
      <c r="Q195" s="714"/>
      <c r="R195" s="714"/>
      <c r="S195" s="715"/>
      <c r="T195" s="397">
        <v>380431.41093438165</v>
      </c>
      <c r="U195" s="398">
        <v>57943.763714248344</v>
      </c>
      <c r="V195" s="403">
        <v>1224629.7318720371</v>
      </c>
      <c r="W195" s="416">
        <v>12040.382900214225</v>
      </c>
      <c r="X195" s="180"/>
      <c r="Y195" s="180"/>
      <c r="Z195" s="15"/>
    </row>
    <row r="196" spans="1:26" x14ac:dyDescent="0.25">
      <c r="A196" s="111">
        <v>5723</v>
      </c>
      <c r="B196" s="119" t="s">
        <v>286</v>
      </c>
      <c r="C196" s="400">
        <v>7708590.1984740291</v>
      </c>
      <c r="D196" s="400">
        <v>0</v>
      </c>
      <c r="E196" s="401">
        <v>311529.28080490319</v>
      </c>
      <c r="F196" s="397">
        <v>8020119.4792789323</v>
      </c>
      <c r="G196" s="400">
        <v>0</v>
      </c>
      <c r="H196" s="400">
        <v>0</v>
      </c>
      <c r="I196" s="400">
        <v>0</v>
      </c>
      <c r="J196" s="402">
        <v>0</v>
      </c>
      <c r="K196" s="400">
        <v>716372.76557875436</v>
      </c>
      <c r="L196" s="400">
        <v>253266.63512152745</v>
      </c>
      <c r="M196" s="15">
        <v>969639.40070028184</v>
      </c>
      <c r="N196" s="397">
        <v>0</v>
      </c>
      <c r="P196" s="713">
        <v>8989758.8799792137</v>
      </c>
      <c r="Q196" s="714"/>
      <c r="R196" s="714"/>
      <c r="S196" s="715"/>
      <c r="T196" s="397">
        <v>2106930.0845370982</v>
      </c>
      <c r="U196" s="398">
        <v>350231.75786223542</v>
      </c>
      <c r="V196" s="403">
        <v>11446920.722378548</v>
      </c>
      <c r="W196" s="416">
        <v>66682.834888686426</v>
      </c>
      <c r="X196" s="180"/>
      <c r="Y196" s="180"/>
      <c r="Z196" s="15"/>
    </row>
    <row r="197" spans="1:26" x14ac:dyDescent="0.25">
      <c r="A197" s="111">
        <v>5724</v>
      </c>
      <c r="B197" s="119" t="s">
        <v>68</v>
      </c>
      <c r="C197" s="400">
        <v>28674619.061500341</v>
      </c>
      <c r="D197" s="400">
        <v>0</v>
      </c>
      <c r="E197" s="401">
        <v>3846040.9693920156</v>
      </c>
      <c r="F197" s="397">
        <v>32520660.030892357</v>
      </c>
      <c r="G197" s="400">
        <v>0</v>
      </c>
      <c r="H197" s="400">
        <v>0</v>
      </c>
      <c r="I197" s="400">
        <v>0</v>
      </c>
      <c r="J197" s="402">
        <v>0</v>
      </c>
      <c r="K197" s="400">
        <v>-5341999.440265432</v>
      </c>
      <c r="L197" s="400">
        <v>242765.93174687121</v>
      </c>
      <c r="M197" s="15">
        <v>-5099233.5085185608</v>
      </c>
      <c r="N197" s="397">
        <v>0</v>
      </c>
      <c r="P197" s="713">
        <v>27421426.522373796</v>
      </c>
      <c r="Q197" s="714"/>
      <c r="R197" s="714"/>
      <c r="S197" s="715"/>
      <c r="T197" s="397">
        <v>22299880.001148526</v>
      </c>
      <c r="U197" s="398">
        <v>705775.30173755728</v>
      </c>
      <c r="V197" s="403">
        <v>50427081.825259872</v>
      </c>
      <c r="W197" s="416">
        <v>705775.30173755728</v>
      </c>
      <c r="X197" s="180"/>
      <c r="Y197" s="180"/>
      <c r="Z197" s="15"/>
    </row>
    <row r="198" spans="1:26" x14ac:dyDescent="0.25">
      <c r="A198" s="111">
        <v>5725</v>
      </c>
      <c r="B198" s="119" t="s">
        <v>287</v>
      </c>
      <c r="C198" s="400">
        <v>6944545.0654577641</v>
      </c>
      <c r="D198" s="400">
        <v>0</v>
      </c>
      <c r="E198" s="401">
        <v>266015.99198213057</v>
      </c>
      <c r="F198" s="397">
        <v>7210561.0574398944</v>
      </c>
      <c r="G198" s="400">
        <v>0</v>
      </c>
      <c r="H198" s="400">
        <v>0</v>
      </c>
      <c r="I198" s="400">
        <v>0</v>
      </c>
      <c r="J198" s="402">
        <v>0</v>
      </c>
      <c r="K198" s="400">
        <v>805868.65554192499</v>
      </c>
      <c r="L198" s="400">
        <v>-237512.95031753869</v>
      </c>
      <c r="M198" s="15">
        <v>568355.7052243863</v>
      </c>
      <c r="N198" s="397">
        <v>0</v>
      </c>
      <c r="P198" s="713">
        <v>7778916.7626642808</v>
      </c>
      <c r="Q198" s="714"/>
      <c r="R198" s="714"/>
      <c r="S198" s="715"/>
      <c r="T198" s="397">
        <v>4157571.8480685996</v>
      </c>
      <c r="U198" s="398">
        <v>131584.18455234118</v>
      </c>
      <c r="V198" s="403">
        <v>12068072.795285221</v>
      </c>
      <c r="W198" s="416">
        <v>131584.18455234118</v>
      </c>
      <c r="X198" s="180"/>
      <c r="Y198" s="180"/>
      <c r="Z198" s="15"/>
    </row>
    <row r="199" spans="1:26" x14ac:dyDescent="0.25">
      <c r="A199" s="111">
        <v>5726</v>
      </c>
      <c r="B199" s="119" t="s">
        <v>288</v>
      </c>
      <c r="C199" s="400">
        <v>654811.97330083756</v>
      </c>
      <c r="D199" s="400">
        <v>0</v>
      </c>
      <c r="E199" s="401">
        <v>-163319.02101763553</v>
      </c>
      <c r="F199" s="397">
        <v>491492.95228320203</v>
      </c>
      <c r="G199" s="400">
        <v>-74377</v>
      </c>
      <c r="H199" s="400">
        <v>0</v>
      </c>
      <c r="I199" s="400">
        <v>0</v>
      </c>
      <c r="J199" s="402">
        <v>-74377</v>
      </c>
      <c r="K199" s="400">
        <v>504191.89304392604</v>
      </c>
      <c r="L199" s="400">
        <v>140690.72407027273</v>
      </c>
      <c r="M199" s="15">
        <v>644882.61711419874</v>
      </c>
      <c r="N199" s="397">
        <v>0</v>
      </c>
      <c r="P199" s="713">
        <v>1061998.5693974008</v>
      </c>
      <c r="Q199" s="714"/>
      <c r="R199" s="714"/>
      <c r="S199" s="715"/>
      <c r="T199" s="397">
        <v>1170408.8815991436</v>
      </c>
      <c r="U199" s="398">
        <v>183424.35145075049</v>
      </c>
      <c r="V199" s="403">
        <v>2415831.8024472948</v>
      </c>
      <c r="W199" s="416">
        <v>37042.606575659069</v>
      </c>
      <c r="X199" s="180"/>
      <c r="Y199" s="180"/>
      <c r="Z199" s="15"/>
    </row>
    <row r="200" spans="1:26" x14ac:dyDescent="0.25">
      <c r="A200" s="111">
        <v>5727</v>
      </c>
      <c r="B200" s="119" t="s">
        <v>289</v>
      </c>
      <c r="C200" s="400">
        <v>-1819587.8208834419</v>
      </c>
      <c r="D200" s="400">
        <v>0</v>
      </c>
      <c r="E200" s="401">
        <v>300012.66731556784</v>
      </c>
      <c r="F200" s="397">
        <v>-1519575.1535678741</v>
      </c>
      <c r="G200" s="400">
        <v>-13385</v>
      </c>
      <c r="H200" s="400">
        <v>-460010</v>
      </c>
      <c r="I200" s="400">
        <v>0</v>
      </c>
      <c r="J200" s="402">
        <v>-473395</v>
      </c>
      <c r="K200" s="400">
        <v>880180.79670667846</v>
      </c>
      <c r="L200" s="400">
        <v>340177.57163259975</v>
      </c>
      <c r="M200" s="15">
        <v>1220358.3683392783</v>
      </c>
      <c r="N200" s="397">
        <v>0</v>
      </c>
      <c r="P200" s="713">
        <v>-772611.78522859584</v>
      </c>
      <c r="Q200" s="714"/>
      <c r="R200" s="714"/>
      <c r="S200" s="715"/>
      <c r="T200" s="397">
        <v>2829943.8629710637</v>
      </c>
      <c r="U200" s="398">
        <v>479010.53276022122</v>
      </c>
      <c r="V200" s="403">
        <v>2536342.6105026891</v>
      </c>
      <c r="W200" s="416">
        <v>89565.70545159356</v>
      </c>
      <c r="X200" s="180"/>
      <c r="Y200" s="180"/>
      <c r="Z200" s="15"/>
    </row>
    <row r="201" spans="1:26" x14ac:dyDescent="0.25">
      <c r="A201" s="111">
        <v>5728</v>
      </c>
      <c r="B201" s="119" t="s">
        <v>290</v>
      </c>
      <c r="C201" s="400">
        <v>1340222.7047714754</v>
      </c>
      <c r="D201" s="400">
        <v>0</v>
      </c>
      <c r="E201" s="401">
        <v>-7313.1309591103927</v>
      </c>
      <c r="F201" s="397">
        <v>1332909.5738123651</v>
      </c>
      <c r="G201" s="400">
        <v>0</v>
      </c>
      <c r="H201" s="400">
        <v>0</v>
      </c>
      <c r="I201" s="400">
        <v>0</v>
      </c>
      <c r="J201" s="402">
        <v>0</v>
      </c>
      <c r="K201" s="400">
        <v>278091.77795792714</v>
      </c>
      <c r="L201" s="400">
        <v>70695.338960684297</v>
      </c>
      <c r="M201" s="15">
        <v>348787.11691861146</v>
      </c>
      <c r="N201" s="397">
        <v>0</v>
      </c>
      <c r="P201" s="713">
        <v>1681696.6907309764</v>
      </c>
      <c r="Q201" s="714"/>
      <c r="R201" s="714"/>
      <c r="S201" s="715"/>
      <c r="T201" s="397">
        <v>588115.90567917167</v>
      </c>
      <c r="U201" s="398">
        <v>89576.328599067594</v>
      </c>
      <c r="V201" s="403">
        <v>2359388.9250092153</v>
      </c>
      <c r="W201" s="416">
        <v>18613.449075331173</v>
      </c>
      <c r="X201" s="180"/>
      <c r="Y201" s="180"/>
      <c r="Z201" s="15"/>
    </row>
    <row r="202" spans="1:26" x14ac:dyDescent="0.25">
      <c r="A202" s="111">
        <v>5729</v>
      </c>
      <c r="B202" s="119" t="s">
        <v>291</v>
      </c>
      <c r="C202" s="400">
        <v>6265583.2458618777</v>
      </c>
      <c r="D202" s="400">
        <v>0</v>
      </c>
      <c r="E202" s="401">
        <v>100962.2542493823</v>
      </c>
      <c r="F202" s="397">
        <v>6366545.5001112595</v>
      </c>
      <c r="G202" s="400">
        <v>0</v>
      </c>
      <c r="H202" s="400">
        <v>0</v>
      </c>
      <c r="I202" s="400">
        <v>0</v>
      </c>
      <c r="J202" s="402">
        <v>0</v>
      </c>
      <c r="K202" s="400">
        <v>616109.0579353536</v>
      </c>
      <c r="L202" s="400">
        <v>200070.14243824023</v>
      </c>
      <c r="M202" s="15">
        <v>816179.20037359383</v>
      </c>
      <c r="N202" s="397">
        <v>0</v>
      </c>
      <c r="P202" s="713">
        <v>7182724.7004848532</v>
      </c>
      <c r="Q202" s="714"/>
      <c r="R202" s="714"/>
      <c r="S202" s="715"/>
      <c r="T202" s="397">
        <v>1664387.4228379198</v>
      </c>
      <c r="U202" s="398">
        <v>271408.77617970994</v>
      </c>
      <c r="V202" s="403">
        <v>9118520.8995024841</v>
      </c>
      <c r="W202" s="416">
        <v>52676.675188437228</v>
      </c>
      <c r="X202" s="180"/>
      <c r="Y202" s="180"/>
      <c r="Z202" s="15"/>
    </row>
    <row r="203" spans="1:26" x14ac:dyDescent="0.25">
      <c r="A203" s="111">
        <v>5730</v>
      </c>
      <c r="B203" s="119" t="s">
        <v>292</v>
      </c>
      <c r="C203" s="400">
        <v>4017352.1518213474</v>
      </c>
      <c r="D203" s="400">
        <v>0</v>
      </c>
      <c r="E203" s="401">
        <v>-28276.303857809806</v>
      </c>
      <c r="F203" s="397">
        <v>3989075.8479635376</v>
      </c>
      <c r="G203" s="400">
        <v>0</v>
      </c>
      <c r="H203" s="400">
        <v>0</v>
      </c>
      <c r="I203" s="400">
        <v>0</v>
      </c>
      <c r="J203" s="402">
        <v>0</v>
      </c>
      <c r="K203" s="400">
        <v>557182.14203967061</v>
      </c>
      <c r="L203" s="400">
        <v>168805.53708929074</v>
      </c>
      <c r="M203" s="15">
        <v>725987.6791289614</v>
      </c>
      <c r="N203" s="397">
        <v>-14300</v>
      </c>
      <c r="P203" s="713">
        <v>4700763.5270924987</v>
      </c>
      <c r="Q203" s="714"/>
      <c r="R203" s="714"/>
      <c r="S203" s="715"/>
      <c r="T203" s="397">
        <v>1404296.5602603322</v>
      </c>
      <c r="U203" s="398">
        <v>225082.98869962909</v>
      </c>
      <c r="V203" s="403">
        <v>6330143.0760524599</v>
      </c>
      <c r="W203" s="416">
        <v>44444.984838290773</v>
      </c>
      <c r="X203" s="180"/>
      <c r="Y203" s="180"/>
      <c r="Z203" s="15"/>
    </row>
    <row r="204" spans="1:26" x14ac:dyDescent="0.25">
      <c r="A204" s="111">
        <v>5731</v>
      </c>
      <c r="B204" s="119" t="s">
        <v>293</v>
      </c>
      <c r="C204" s="400">
        <v>133939.68658627765</v>
      </c>
      <c r="D204" s="400">
        <v>0</v>
      </c>
      <c r="E204" s="401">
        <v>-109328.35208782673</v>
      </c>
      <c r="F204" s="397">
        <v>24611.334498450917</v>
      </c>
      <c r="G204" s="400">
        <v>0</v>
      </c>
      <c r="H204" s="400">
        <v>-111059</v>
      </c>
      <c r="I204" s="400">
        <v>0</v>
      </c>
      <c r="J204" s="402">
        <v>-111059</v>
      </c>
      <c r="K204" s="400">
        <v>549706.33927678561</v>
      </c>
      <c r="L204" s="400">
        <v>164839.13193308073</v>
      </c>
      <c r="M204" s="15">
        <v>714545.47120986634</v>
      </c>
      <c r="N204" s="397">
        <v>0</v>
      </c>
      <c r="P204" s="713">
        <v>628097.80570831732</v>
      </c>
      <c r="Q204" s="714"/>
      <c r="R204" s="714"/>
      <c r="S204" s="715"/>
      <c r="T204" s="397">
        <v>1371299.9582915339</v>
      </c>
      <c r="U204" s="398">
        <v>219205.83655663379</v>
      </c>
      <c r="V204" s="403">
        <v>2218603.6005564849</v>
      </c>
      <c r="W204" s="416">
        <v>43400.665913272191</v>
      </c>
      <c r="X204" s="180"/>
      <c r="Y204" s="180"/>
      <c r="Z204" s="15"/>
    </row>
    <row r="205" spans="1:26" x14ac:dyDescent="0.25">
      <c r="A205" s="111">
        <v>5732</v>
      </c>
      <c r="B205" s="119" t="s">
        <v>294</v>
      </c>
      <c r="C205" s="400">
        <v>1420079.7959573739</v>
      </c>
      <c r="D205" s="400">
        <v>0</v>
      </c>
      <c r="E205" s="401">
        <v>-22168.142881180829</v>
      </c>
      <c r="F205" s="397">
        <v>1397911.6530761931</v>
      </c>
      <c r="G205" s="400">
        <v>0</v>
      </c>
      <c r="H205" s="400">
        <v>0</v>
      </c>
      <c r="I205" s="400">
        <v>-5940</v>
      </c>
      <c r="J205" s="402">
        <v>-5940</v>
      </c>
      <c r="K205" s="400">
        <v>497155.84338474</v>
      </c>
      <c r="L205" s="400">
        <v>136957.636864428</v>
      </c>
      <c r="M205" s="15">
        <v>634113.480249168</v>
      </c>
      <c r="N205" s="397">
        <v>0</v>
      </c>
      <c r="P205" s="713">
        <v>2026085.1333253612</v>
      </c>
      <c r="Q205" s="714"/>
      <c r="R205" s="714"/>
      <c r="S205" s="715"/>
      <c r="T205" s="397">
        <v>1139353.2562167451</v>
      </c>
      <c r="U205" s="398">
        <v>177892.91413969605</v>
      </c>
      <c r="V205" s="403">
        <v>3343331.3036818025</v>
      </c>
      <c r="W205" s="416">
        <v>36059.718175641581</v>
      </c>
      <c r="X205" s="180"/>
      <c r="Y205" s="180"/>
      <c r="Z205" s="15"/>
    </row>
    <row r="206" spans="1:26" x14ac:dyDescent="0.25">
      <c r="A206" s="111">
        <v>5741</v>
      </c>
      <c r="B206" s="119" t="s">
        <v>295</v>
      </c>
      <c r="C206" s="400">
        <v>-255078.05755420454</v>
      </c>
      <c r="D206" s="400">
        <v>0</v>
      </c>
      <c r="E206" s="401">
        <v>-34427.181892807901</v>
      </c>
      <c r="F206" s="397">
        <v>-289505.23944701243</v>
      </c>
      <c r="G206" s="400">
        <v>-39392</v>
      </c>
      <c r="H206" s="400">
        <v>-4588</v>
      </c>
      <c r="I206" s="400">
        <v>0</v>
      </c>
      <c r="J206" s="402">
        <v>-43980</v>
      </c>
      <c r="K206" s="400">
        <v>122984.48266126151</v>
      </c>
      <c r="L206" s="400">
        <v>31264.605348949495</v>
      </c>
      <c r="M206" s="15">
        <v>154249.08801021101</v>
      </c>
      <c r="N206" s="397">
        <v>-15300</v>
      </c>
      <c r="P206" s="713">
        <v>-194536.15143680142</v>
      </c>
      <c r="Q206" s="714"/>
      <c r="R206" s="714"/>
      <c r="S206" s="715"/>
      <c r="T206" s="397">
        <v>260090.86257758745</v>
      </c>
      <c r="U206" s="398">
        <v>39614.613967904479</v>
      </c>
      <c r="V206" s="403">
        <v>105169.32510869051</v>
      </c>
      <c r="W206" s="416">
        <v>8231.6903501464603</v>
      </c>
      <c r="X206" s="180"/>
      <c r="Y206" s="180"/>
      <c r="Z206" s="15"/>
    </row>
    <row r="207" spans="1:26" x14ac:dyDescent="0.25">
      <c r="A207" s="111">
        <v>5742</v>
      </c>
      <c r="B207" s="119" t="s">
        <v>296</v>
      </c>
      <c r="C207" s="400">
        <v>-503714.69978972181</v>
      </c>
      <c r="D207" s="400">
        <v>0</v>
      </c>
      <c r="E207" s="401">
        <v>-68247.350820691892</v>
      </c>
      <c r="F207" s="397">
        <v>-571962.05061041366</v>
      </c>
      <c r="G207" s="400">
        <v>-25773</v>
      </c>
      <c r="H207" s="400">
        <v>0</v>
      </c>
      <c r="I207" s="400">
        <v>-53566</v>
      </c>
      <c r="J207" s="402">
        <v>-79339</v>
      </c>
      <c r="K207" s="400">
        <v>175757.67484799685</v>
      </c>
      <c r="L207" s="400">
        <v>44680.387494953939</v>
      </c>
      <c r="M207" s="15">
        <v>220438.06234295078</v>
      </c>
      <c r="N207" s="397">
        <v>0</v>
      </c>
      <c r="P207" s="713">
        <v>-430862.98826746288</v>
      </c>
      <c r="Q207" s="714"/>
      <c r="R207" s="714"/>
      <c r="S207" s="715"/>
      <c r="T207" s="397">
        <v>371697.01629558206</v>
      </c>
      <c r="U207" s="398">
        <v>56613.422200400804</v>
      </c>
      <c r="V207" s="403">
        <v>-2552.5497714800149</v>
      </c>
      <c r="W207" s="416">
        <v>11763.945537709305</v>
      </c>
      <c r="X207" s="180"/>
      <c r="Y207" s="180"/>
      <c r="Z207" s="15"/>
    </row>
    <row r="208" spans="1:26" x14ac:dyDescent="0.25">
      <c r="A208" s="111">
        <v>5743</v>
      </c>
      <c r="B208" s="119" t="s">
        <v>297</v>
      </c>
      <c r="C208" s="400">
        <v>-702066.25308886042</v>
      </c>
      <c r="D208" s="400">
        <v>0</v>
      </c>
      <c r="E208" s="401">
        <v>-17333.165881141846</v>
      </c>
      <c r="F208" s="397">
        <v>-719399.41897000233</v>
      </c>
      <c r="G208" s="400">
        <v>-25239</v>
      </c>
      <c r="H208" s="400">
        <v>0</v>
      </c>
      <c r="I208" s="400">
        <v>0</v>
      </c>
      <c r="J208" s="402">
        <v>-25239</v>
      </c>
      <c r="K208" s="400">
        <v>303331.1307428875</v>
      </c>
      <c r="L208" s="400">
        <v>77111.582595729909</v>
      </c>
      <c r="M208" s="15">
        <v>380442.71333861741</v>
      </c>
      <c r="N208" s="397">
        <v>0</v>
      </c>
      <c r="P208" s="713">
        <v>-364195.70563138492</v>
      </c>
      <c r="Q208" s="714"/>
      <c r="R208" s="714"/>
      <c r="S208" s="715"/>
      <c r="T208" s="397">
        <v>641492.76180516905</v>
      </c>
      <c r="U208" s="398">
        <v>97706.193405913655</v>
      </c>
      <c r="V208" s="403">
        <v>375003.24957969779</v>
      </c>
      <c r="W208" s="416">
        <v>20302.788512861229</v>
      </c>
      <c r="X208" s="180"/>
      <c r="Y208" s="180"/>
      <c r="Z208" s="15"/>
    </row>
    <row r="209" spans="1:26" x14ac:dyDescent="0.25">
      <c r="A209" s="111">
        <v>5744</v>
      </c>
      <c r="B209" s="119" t="s">
        <v>298</v>
      </c>
      <c r="C209" s="400">
        <v>161069.33824250326</v>
      </c>
      <c r="D209" s="400">
        <v>0</v>
      </c>
      <c r="E209" s="401">
        <v>317421.04760029912</v>
      </c>
      <c r="F209" s="397">
        <v>478490.38584280235</v>
      </c>
      <c r="G209" s="400">
        <v>0</v>
      </c>
      <c r="H209" s="400">
        <v>-166592</v>
      </c>
      <c r="I209" s="400">
        <v>0</v>
      </c>
      <c r="J209" s="402">
        <v>-166592</v>
      </c>
      <c r="K209" s="400">
        <v>501333.49786988168</v>
      </c>
      <c r="L209" s="400">
        <v>139174.15739289831</v>
      </c>
      <c r="M209" s="15">
        <v>640507.65526278003</v>
      </c>
      <c r="N209" s="397">
        <v>-49300</v>
      </c>
      <c r="P209" s="713">
        <v>903106.04110558238</v>
      </c>
      <c r="Q209" s="714"/>
      <c r="R209" s="714"/>
      <c r="S209" s="715"/>
      <c r="T209" s="397">
        <v>1157792.5337875441</v>
      </c>
      <c r="U209" s="398">
        <v>181177.2050431346</v>
      </c>
      <c r="V209" s="403">
        <v>2242075.779936261</v>
      </c>
      <c r="W209" s="416">
        <v>36643.30816315196</v>
      </c>
      <c r="X209" s="180"/>
      <c r="Y209" s="180"/>
      <c r="Z209" s="15"/>
    </row>
    <row r="210" spans="1:26" x14ac:dyDescent="0.25">
      <c r="A210" s="111">
        <v>5745</v>
      </c>
      <c r="B210" s="119" t="s">
        <v>299</v>
      </c>
      <c r="C210" s="400">
        <v>-1420992.2578495173</v>
      </c>
      <c r="D210" s="400">
        <v>0</v>
      </c>
      <c r="E210" s="401">
        <v>-135546.22201178301</v>
      </c>
      <c r="F210" s="397">
        <v>-1556538.4798613002</v>
      </c>
      <c r="G210" s="400">
        <v>-141309</v>
      </c>
      <c r="H210" s="400">
        <v>0</v>
      </c>
      <c r="I210" s="400">
        <v>0</v>
      </c>
      <c r="J210" s="402">
        <v>-141309</v>
      </c>
      <c r="K210" s="400">
        <v>490999.29993295227</v>
      </c>
      <c r="L210" s="400">
        <v>133691.18555931389</v>
      </c>
      <c r="M210" s="15">
        <v>624690.48549226613</v>
      </c>
      <c r="N210" s="397">
        <v>-192100</v>
      </c>
      <c r="P210" s="713">
        <v>-1265256.9943690342</v>
      </c>
      <c r="Q210" s="714"/>
      <c r="R210" s="714"/>
      <c r="S210" s="715"/>
      <c r="T210" s="397">
        <v>1112179.5840071463</v>
      </c>
      <c r="U210" s="398">
        <v>173052.90649252344</v>
      </c>
      <c r="V210" s="403">
        <v>19975.496130635554</v>
      </c>
      <c r="W210" s="416">
        <v>35199.690825626276</v>
      </c>
      <c r="X210" s="180"/>
      <c r="Y210" s="180"/>
      <c r="Z210" s="15"/>
    </row>
    <row r="211" spans="1:26" x14ac:dyDescent="0.25">
      <c r="A211" s="111">
        <v>5746</v>
      </c>
      <c r="B211" s="119" t="s">
        <v>300</v>
      </c>
      <c r="C211" s="400">
        <v>-886731.91946625593</v>
      </c>
      <c r="D211" s="400">
        <v>0</v>
      </c>
      <c r="E211" s="401">
        <v>-91230.703984484266</v>
      </c>
      <c r="F211" s="397">
        <v>-977962.62345074024</v>
      </c>
      <c r="G211" s="400">
        <v>-11652</v>
      </c>
      <c r="H211" s="400">
        <v>0</v>
      </c>
      <c r="I211" s="400">
        <v>0</v>
      </c>
      <c r="J211" s="402">
        <v>-11652</v>
      </c>
      <c r="K211" s="400">
        <v>467032.7557813499</v>
      </c>
      <c r="L211" s="400">
        <v>120975.35726440532</v>
      </c>
      <c r="M211" s="15">
        <v>588008.11304575519</v>
      </c>
      <c r="N211" s="397">
        <v>-87800</v>
      </c>
      <c r="P211" s="713">
        <v>-489406.51040498505</v>
      </c>
      <c r="Q211" s="714"/>
      <c r="R211" s="714"/>
      <c r="S211" s="715"/>
      <c r="T211" s="397">
        <v>1006396.3600483515</v>
      </c>
      <c r="U211" s="398">
        <v>154211.44815174429</v>
      </c>
      <c r="V211" s="403">
        <v>671201.29779511073</v>
      </c>
      <c r="W211" s="416">
        <v>31851.727213066712</v>
      </c>
      <c r="X211" s="180"/>
      <c r="Y211" s="180"/>
      <c r="Z211" s="15"/>
    </row>
    <row r="212" spans="1:26" x14ac:dyDescent="0.25">
      <c r="A212" s="111">
        <v>5747</v>
      </c>
      <c r="B212" s="119" t="s">
        <v>301</v>
      </c>
      <c r="C212" s="400">
        <v>-170908.24517488459</v>
      </c>
      <c r="D212" s="400">
        <v>0</v>
      </c>
      <c r="E212" s="401">
        <v>-16141.672452256462</v>
      </c>
      <c r="F212" s="397">
        <v>-187049.91762714105</v>
      </c>
      <c r="G212" s="400">
        <v>-28029</v>
      </c>
      <c r="H212" s="400">
        <v>0</v>
      </c>
      <c r="I212" s="400">
        <v>-19168</v>
      </c>
      <c r="J212" s="402">
        <v>-47197</v>
      </c>
      <c r="K212" s="400">
        <v>89026.080732405724</v>
      </c>
      <c r="L212" s="400">
        <v>22631.84118543359</v>
      </c>
      <c r="M212" s="15">
        <v>111657.92191783931</v>
      </c>
      <c r="N212" s="397">
        <v>0</v>
      </c>
      <c r="P212" s="713">
        <v>-122588.99570930174</v>
      </c>
      <c r="Q212" s="714"/>
      <c r="R212" s="714"/>
      <c r="S212" s="715"/>
      <c r="T212" s="397">
        <v>188274.72888079094</v>
      </c>
      <c r="U212" s="398">
        <v>28676.250409602493</v>
      </c>
      <c r="V212" s="403">
        <v>94361.983581091685</v>
      </c>
      <c r="W212" s="416">
        <v>5958.7609251060194</v>
      </c>
      <c r="X212" s="180"/>
      <c r="Y212" s="180"/>
      <c r="Z212" s="15"/>
    </row>
    <row r="213" spans="1:26" x14ac:dyDescent="0.25">
      <c r="A213" s="111">
        <v>5748</v>
      </c>
      <c r="B213" s="119" t="s">
        <v>302</v>
      </c>
      <c r="C213" s="400">
        <v>-310960.04826939286</v>
      </c>
      <c r="D213" s="400">
        <v>0</v>
      </c>
      <c r="E213" s="401">
        <v>-35930.095541930023</v>
      </c>
      <c r="F213" s="397">
        <v>-346890.14381132287</v>
      </c>
      <c r="G213" s="400">
        <v>-36636</v>
      </c>
      <c r="H213" s="400">
        <v>-76</v>
      </c>
      <c r="I213" s="400">
        <v>-49797</v>
      </c>
      <c r="J213" s="402">
        <v>-86509</v>
      </c>
      <c r="K213" s="400">
        <v>118854.40675099526</v>
      </c>
      <c r="L213" s="400">
        <v>30214.674572305667</v>
      </c>
      <c r="M213" s="15">
        <v>149069.08132330092</v>
      </c>
      <c r="N213" s="397">
        <v>0</v>
      </c>
      <c r="P213" s="713">
        <v>-284330.06248802191</v>
      </c>
      <c r="Q213" s="714"/>
      <c r="R213" s="714"/>
      <c r="S213" s="715"/>
      <c r="T213" s="397">
        <v>251356.46793878789</v>
      </c>
      <c r="U213" s="398">
        <v>38284.27245405694</v>
      </c>
      <c r="V213" s="403">
        <v>5310.6779048229146</v>
      </c>
      <c r="W213" s="416">
        <v>7955.252987641541</v>
      </c>
      <c r="X213" s="180"/>
      <c r="Y213" s="180"/>
      <c r="Z213" s="15"/>
    </row>
    <row r="214" spans="1:26" x14ac:dyDescent="0.25">
      <c r="A214" s="111">
        <v>5749</v>
      </c>
      <c r="B214" s="119" t="s">
        <v>303</v>
      </c>
      <c r="C214" s="400">
        <v>-6147800.9225345617</v>
      </c>
      <c r="D214" s="400">
        <v>0</v>
      </c>
      <c r="E214" s="401">
        <v>-207861.197312303</v>
      </c>
      <c r="F214" s="397">
        <v>-6355662.1198468646</v>
      </c>
      <c r="G214" s="400">
        <v>0</v>
      </c>
      <c r="H214" s="400">
        <v>0</v>
      </c>
      <c r="I214" s="400">
        <v>-26936</v>
      </c>
      <c r="J214" s="402">
        <v>-26936</v>
      </c>
      <c r="K214" s="400">
        <v>723564.57628848823</v>
      </c>
      <c r="L214" s="400">
        <v>632641.62241549662</v>
      </c>
      <c r="M214" s="15">
        <v>1356206.1987039847</v>
      </c>
      <c r="N214" s="397">
        <v>0</v>
      </c>
      <c r="P214" s="713">
        <v>-5026391.9211428799</v>
      </c>
      <c r="Q214" s="714"/>
      <c r="R214" s="714"/>
      <c r="S214" s="715"/>
      <c r="T214" s="397">
        <v>5262958.0140233459</v>
      </c>
      <c r="U214" s="398">
        <v>947998.40261242073</v>
      </c>
      <c r="V214" s="403">
        <v>1184564.4954928868</v>
      </c>
      <c r="W214" s="416">
        <v>166568.86854046362</v>
      </c>
      <c r="X214" s="180"/>
      <c r="Y214" s="180"/>
      <c r="Z214" s="15"/>
    </row>
    <row r="215" spans="1:26" x14ac:dyDescent="0.25">
      <c r="A215" s="111">
        <v>5750</v>
      </c>
      <c r="B215" s="119" t="s">
        <v>304</v>
      </c>
      <c r="C215" s="400">
        <v>-215703.01645923592</v>
      </c>
      <c r="D215" s="400">
        <v>0</v>
      </c>
      <c r="E215" s="401">
        <v>-34046.208818728046</v>
      </c>
      <c r="F215" s="397">
        <v>-249749.22527796397</v>
      </c>
      <c r="G215" s="400">
        <v>-57515</v>
      </c>
      <c r="H215" s="400">
        <v>0</v>
      </c>
      <c r="I215" s="400">
        <v>0</v>
      </c>
      <c r="J215" s="402">
        <v>-57515</v>
      </c>
      <c r="K215" s="400">
        <v>88108.286085679894</v>
      </c>
      <c r="L215" s="400">
        <v>22398.523235068293</v>
      </c>
      <c r="M215" s="15">
        <v>110506.80932074819</v>
      </c>
      <c r="N215" s="397">
        <v>0</v>
      </c>
      <c r="P215" s="713">
        <v>-196757.41595721577</v>
      </c>
      <c r="Q215" s="714"/>
      <c r="R215" s="714"/>
      <c r="S215" s="715"/>
      <c r="T215" s="397">
        <v>186333.75229439102</v>
      </c>
      <c r="U215" s="398">
        <v>28380.618962080822</v>
      </c>
      <c r="V215" s="403">
        <v>17956.955299256071</v>
      </c>
      <c r="W215" s="416">
        <v>5897.3304001049264</v>
      </c>
      <c r="X215" s="180"/>
      <c r="Y215" s="180"/>
      <c r="Z215" s="15"/>
    </row>
    <row r="216" spans="1:26" x14ac:dyDescent="0.25">
      <c r="A216" s="111">
        <v>5752</v>
      </c>
      <c r="B216" s="119" t="s">
        <v>305</v>
      </c>
      <c r="C216" s="400">
        <v>-507399.98571985029</v>
      </c>
      <c r="D216" s="400">
        <v>0</v>
      </c>
      <c r="E216" s="401">
        <v>53404.198744609195</v>
      </c>
      <c r="F216" s="397">
        <v>-453995.78697524109</v>
      </c>
      <c r="G216" s="400">
        <v>-14834</v>
      </c>
      <c r="H216" s="400">
        <v>0</v>
      </c>
      <c r="I216" s="400">
        <v>0</v>
      </c>
      <c r="J216" s="402">
        <v>-14834</v>
      </c>
      <c r="K216" s="400">
        <v>182182.23737507768</v>
      </c>
      <c r="L216" s="400">
        <v>46313.613147511001</v>
      </c>
      <c r="M216" s="15">
        <v>228495.85052258868</v>
      </c>
      <c r="N216" s="397">
        <v>-94500</v>
      </c>
      <c r="P216" s="713">
        <v>-334833.93645265244</v>
      </c>
      <c r="Q216" s="714"/>
      <c r="R216" s="714"/>
      <c r="S216" s="715"/>
      <c r="T216" s="397">
        <v>385283.85240038141</v>
      </c>
      <c r="U216" s="398">
        <v>58682.84233305254</v>
      </c>
      <c r="V216" s="403">
        <v>109132.75828078151</v>
      </c>
      <c r="W216" s="416">
        <v>12193.959212716956</v>
      </c>
      <c r="X216" s="180"/>
      <c r="Y216" s="180"/>
      <c r="Z216" s="15"/>
    </row>
    <row r="217" spans="1:26" x14ac:dyDescent="0.25">
      <c r="A217" s="111">
        <v>5754</v>
      </c>
      <c r="B217" s="119" t="s">
        <v>306</v>
      </c>
      <c r="C217" s="400">
        <v>-441224.81718197791</v>
      </c>
      <c r="D217" s="400">
        <v>0</v>
      </c>
      <c r="E217" s="401">
        <v>-40139.217684237199</v>
      </c>
      <c r="F217" s="397">
        <v>-481364.03486621508</v>
      </c>
      <c r="G217" s="400">
        <v>-69764</v>
      </c>
      <c r="H217" s="400">
        <v>-31172</v>
      </c>
      <c r="I217" s="400">
        <v>0</v>
      </c>
      <c r="J217" s="402">
        <v>-100936</v>
      </c>
      <c r="K217" s="400">
        <v>161072.96050038355</v>
      </c>
      <c r="L217" s="400">
        <v>40947.300289109226</v>
      </c>
      <c r="M217" s="15">
        <v>202020.26078949278</v>
      </c>
      <c r="N217" s="397">
        <v>0</v>
      </c>
      <c r="P217" s="713">
        <v>-380279.77407672233</v>
      </c>
      <c r="Q217" s="714"/>
      <c r="R217" s="714"/>
      <c r="S217" s="715"/>
      <c r="T217" s="397">
        <v>340641.39091318357</v>
      </c>
      <c r="U217" s="398">
        <v>51883.319040053997</v>
      </c>
      <c r="V217" s="403">
        <v>12244.935876515236</v>
      </c>
      <c r="W217" s="416">
        <v>10781.057137691818</v>
      </c>
      <c r="X217" s="180"/>
      <c r="Y217" s="180"/>
      <c r="Z217" s="15"/>
    </row>
    <row r="218" spans="1:26" x14ac:dyDescent="0.25">
      <c r="A218" s="111">
        <v>5755</v>
      </c>
      <c r="B218" s="119" t="s">
        <v>307</v>
      </c>
      <c r="C218" s="400">
        <v>-610498.39858215104</v>
      </c>
      <c r="D218" s="400">
        <v>-570</v>
      </c>
      <c r="E218" s="401">
        <v>-72088.654345064366</v>
      </c>
      <c r="F218" s="397">
        <v>-683157.05292721535</v>
      </c>
      <c r="G218" s="400">
        <v>-74113</v>
      </c>
      <c r="H218" s="400">
        <v>-69643</v>
      </c>
      <c r="I218" s="400">
        <v>0</v>
      </c>
      <c r="J218" s="402">
        <v>-143756</v>
      </c>
      <c r="K218" s="400">
        <v>212010.56339366722</v>
      </c>
      <c r="L218" s="400">
        <v>53896.446534383082</v>
      </c>
      <c r="M218" s="15">
        <v>265907.00992805033</v>
      </c>
      <c r="N218" s="397">
        <v>-21900</v>
      </c>
      <c r="P218" s="713">
        <v>-582906.04299916502</v>
      </c>
      <c r="Q218" s="714"/>
      <c r="R218" s="714"/>
      <c r="S218" s="715"/>
      <c r="T218" s="397">
        <v>448365.59145837836</v>
      </c>
      <c r="U218" s="398">
        <v>68290.86437750698</v>
      </c>
      <c r="V218" s="403">
        <v>-66249.587163279677</v>
      </c>
      <c r="W218" s="416">
        <v>14190.451275252479</v>
      </c>
      <c r="X218" s="180"/>
      <c r="Y218" s="180"/>
      <c r="Z218" s="15"/>
    </row>
    <row r="219" spans="1:26" x14ac:dyDescent="0.25">
      <c r="A219" s="111">
        <v>5756</v>
      </c>
      <c r="B219" s="119" t="s">
        <v>308</v>
      </c>
      <c r="C219" s="400">
        <v>-343754.36927993607</v>
      </c>
      <c r="D219" s="400">
        <v>0</v>
      </c>
      <c r="E219" s="401">
        <v>-76863.187481519039</v>
      </c>
      <c r="F219" s="397">
        <v>-420617.55676145514</v>
      </c>
      <c r="G219" s="400">
        <v>0</v>
      </c>
      <c r="H219" s="400">
        <v>0</v>
      </c>
      <c r="I219" s="400">
        <v>-2852</v>
      </c>
      <c r="J219" s="402">
        <v>-2852</v>
      </c>
      <c r="K219" s="400">
        <v>226695.27774128056</v>
      </c>
      <c r="L219" s="400">
        <v>57629.533740227802</v>
      </c>
      <c r="M219" s="15">
        <v>284324.81148150837</v>
      </c>
      <c r="N219" s="397">
        <v>0</v>
      </c>
      <c r="P219" s="713">
        <v>-139144.74527994677</v>
      </c>
      <c r="Q219" s="714"/>
      <c r="R219" s="714"/>
      <c r="S219" s="715"/>
      <c r="T219" s="397">
        <v>479421.21684077691</v>
      </c>
      <c r="U219" s="398">
        <v>73020.96753785378</v>
      </c>
      <c r="V219" s="403">
        <v>413297.43909868388</v>
      </c>
      <c r="W219" s="416">
        <v>15173.339675269966</v>
      </c>
      <c r="X219" s="180"/>
      <c r="Y219" s="180"/>
      <c r="Z219" s="15"/>
    </row>
    <row r="220" spans="1:26" x14ac:dyDescent="0.25">
      <c r="A220" s="111">
        <v>5757</v>
      </c>
      <c r="B220" s="119" t="s">
        <v>309</v>
      </c>
      <c r="C220" s="400">
        <v>-8179932.9958892558</v>
      </c>
      <c r="D220" s="400">
        <v>0</v>
      </c>
      <c r="E220" s="401">
        <v>741593.39518653951</v>
      </c>
      <c r="F220" s="397">
        <v>-7438339.600702716</v>
      </c>
      <c r="G220" s="400">
        <v>0</v>
      </c>
      <c r="H220" s="400">
        <v>0</v>
      </c>
      <c r="I220" s="400">
        <v>0</v>
      </c>
      <c r="J220" s="402">
        <v>0</v>
      </c>
      <c r="K220" s="400">
        <v>549851.66450160276</v>
      </c>
      <c r="L220" s="400">
        <v>714518.95875458093</v>
      </c>
      <c r="M220" s="15">
        <v>1264370.6232561837</v>
      </c>
      <c r="N220" s="397">
        <v>-1030500</v>
      </c>
      <c r="P220" s="713">
        <v>-7204468.9774465319</v>
      </c>
      <c r="Q220" s="714"/>
      <c r="R220" s="714"/>
      <c r="S220" s="715"/>
      <c r="T220" s="397">
        <v>7596011.8708760338</v>
      </c>
      <c r="U220" s="398">
        <v>1423747.8586772943</v>
      </c>
      <c r="V220" s="403">
        <v>1815290.7521067963</v>
      </c>
      <c r="W220" s="416">
        <v>240408.35959177738</v>
      </c>
      <c r="X220" s="180"/>
      <c r="Y220" s="180"/>
      <c r="Z220" s="15"/>
    </row>
    <row r="221" spans="1:26" x14ac:dyDescent="0.25">
      <c r="A221" s="111">
        <v>5758</v>
      </c>
      <c r="B221" s="119" t="s">
        <v>310</v>
      </c>
      <c r="C221" s="400">
        <v>-265877.6083562781</v>
      </c>
      <c r="D221" s="400">
        <v>0</v>
      </c>
      <c r="E221" s="401">
        <v>-16821.389253426962</v>
      </c>
      <c r="F221" s="397">
        <v>-282698.99760970508</v>
      </c>
      <c r="G221" s="400">
        <v>-37121</v>
      </c>
      <c r="H221" s="400">
        <v>-26118</v>
      </c>
      <c r="I221" s="400">
        <v>0</v>
      </c>
      <c r="J221" s="402">
        <v>-63239</v>
      </c>
      <c r="K221" s="400">
        <v>94532.848612760703</v>
      </c>
      <c r="L221" s="400">
        <v>24031.748887625359</v>
      </c>
      <c r="M221" s="15">
        <v>118564.59750038607</v>
      </c>
      <c r="N221" s="397">
        <v>0</v>
      </c>
      <c r="P221" s="713">
        <v>-227373.40010931902</v>
      </c>
      <c r="Q221" s="714"/>
      <c r="R221" s="714"/>
      <c r="S221" s="715"/>
      <c r="T221" s="397">
        <v>199920.58839919037</v>
      </c>
      <c r="U221" s="398">
        <v>30450.03909473255</v>
      </c>
      <c r="V221" s="403">
        <v>2997.2273846039025</v>
      </c>
      <c r="W221" s="416">
        <v>6327.3440751125772</v>
      </c>
      <c r="X221" s="180"/>
      <c r="Y221" s="180"/>
      <c r="Z221" s="15"/>
    </row>
    <row r="222" spans="1:26" x14ac:dyDescent="0.25">
      <c r="A222" s="111">
        <v>5759</v>
      </c>
      <c r="B222" s="119" t="s">
        <v>311</v>
      </c>
      <c r="C222" s="400">
        <v>-320170.27379854454</v>
      </c>
      <c r="D222" s="400">
        <v>-3357</v>
      </c>
      <c r="E222" s="401">
        <v>-43427.8083060606</v>
      </c>
      <c r="F222" s="397">
        <v>-366955.08210460516</v>
      </c>
      <c r="G222" s="400">
        <v>-44857</v>
      </c>
      <c r="H222" s="400">
        <v>-28452</v>
      </c>
      <c r="I222" s="400">
        <v>-29430</v>
      </c>
      <c r="J222" s="402">
        <v>-102739</v>
      </c>
      <c r="K222" s="400">
        <v>106923.07634355944</v>
      </c>
      <c r="L222" s="400">
        <v>27181.541217556838</v>
      </c>
      <c r="M222" s="15">
        <v>134104.61756111629</v>
      </c>
      <c r="N222" s="397">
        <v>0</v>
      </c>
      <c r="P222" s="713">
        <v>-335589.46454348887</v>
      </c>
      <c r="Q222" s="714"/>
      <c r="R222" s="714"/>
      <c r="S222" s="715"/>
      <c r="T222" s="397">
        <v>226123.7723155891</v>
      </c>
      <c r="U222" s="398">
        <v>34441.063636275161</v>
      </c>
      <c r="V222" s="403">
        <v>-75024.628591624612</v>
      </c>
      <c r="W222" s="416">
        <v>7156.6561626273324</v>
      </c>
      <c r="X222" s="180"/>
      <c r="Y222" s="180"/>
      <c r="Z222" s="15"/>
    </row>
    <row r="223" spans="1:26" x14ac:dyDescent="0.25">
      <c r="A223" s="111">
        <v>5760</v>
      </c>
      <c r="B223" s="119" t="s">
        <v>312</v>
      </c>
      <c r="C223" s="400">
        <v>-488571.22271911835</v>
      </c>
      <c r="D223" s="400">
        <v>0</v>
      </c>
      <c r="E223" s="401">
        <v>-42107.488801209496</v>
      </c>
      <c r="F223" s="397">
        <v>-530678.71152032784</v>
      </c>
      <c r="G223" s="400">
        <v>-60578</v>
      </c>
      <c r="H223" s="400">
        <v>0</v>
      </c>
      <c r="I223" s="400">
        <v>0</v>
      </c>
      <c r="J223" s="402">
        <v>-60578</v>
      </c>
      <c r="K223" s="400">
        <v>240921.09476553096</v>
      </c>
      <c r="L223" s="400">
        <v>61245.961970889868</v>
      </c>
      <c r="M223" s="15">
        <v>302167.05673642084</v>
      </c>
      <c r="N223" s="397">
        <v>-19400</v>
      </c>
      <c r="P223" s="713">
        <v>-308489.654783907</v>
      </c>
      <c r="Q223" s="714"/>
      <c r="R223" s="714"/>
      <c r="S223" s="715"/>
      <c r="T223" s="397">
        <v>509506.35392997542</v>
      </c>
      <c r="U223" s="398">
        <v>77603.25497443974</v>
      </c>
      <c r="V223" s="403">
        <v>278619.95412050816</v>
      </c>
      <c r="W223" s="416">
        <v>16125.512812786908</v>
      </c>
      <c r="X223" s="180"/>
      <c r="Y223" s="180"/>
      <c r="Z223" s="15"/>
    </row>
    <row r="224" spans="1:26" x14ac:dyDescent="0.25">
      <c r="A224" s="111">
        <v>5761</v>
      </c>
      <c r="B224" s="119" t="s">
        <v>313</v>
      </c>
      <c r="C224" s="400">
        <v>-769761.94642314769</v>
      </c>
      <c r="D224" s="400">
        <v>-3195</v>
      </c>
      <c r="E224" s="401">
        <v>-35253.419639419924</v>
      </c>
      <c r="F224" s="397">
        <v>-808210.36606256757</v>
      </c>
      <c r="G224" s="400">
        <v>-26030</v>
      </c>
      <c r="H224" s="400">
        <v>-1133</v>
      </c>
      <c r="I224" s="400">
        <v>0</v>
      </c>
      <c r="J224" s="402">
        <v>-27163</v>
      </c>
      <c r="K224" s="400">
        <v>263865.96093367669</v>
      </c>
      <c r="L224" s="400">
        <v>67078.910730022239</v>
      </c>
      <c r="M224" s="15">
        <v>330944.87166369893</v>
      </c>
      <c r="N224" s="397">
        <v>-59400</v>
      </c>
      <c r="P224" s="713">
        <v>-563828.49439886864</v>
      </c>
      <c r="Q224" s="714"/>
      <c r="R224" s="714"/>
      <c r="S224" s="715"/>
      <c r="T224" s="397">
        <v>558030.7685899731</v>
      </c>
      <c r="U224" s="398">
        <v>84994.041162481619</v>
      </c>
      <c r="V224" s="403">
        <v>79196.315353586077</v>
      </c>
      <c r="W224" s="416">
        <v>17661.275937814233</v>
      </c>
      <c r="X224" s="180"/>
      <c r="Y224" s="180"/>
      <c r="Z224" s="15"/>
    </row>
    <row r="225" spans="1:26" x14ac:dyDescent="0.25">
      <c r="A225" s="111">
        <v>5762</v>
      </c>
      <c r="B225" s="119" t="s">
        <v>314</v>
      </c>
      <c r="C225" s="400">
        <v>-165540.83822059914</v>
      </c>
      <c r="D225" s="400">
        <v>0</v>
      </c>
      <c r="E225" s="401">
        <v>-3445.3538966965716</v>
      </c>
      <c r="F225" s="397">
        <v>-168986.19211729569</v>
      </c>
      <c r="G225" s="400">
        <v>-4202</v>
      </c>
      <c r="H225" s="400">
        <v>0</v>
      </c>
      <c r="I225" s="400">
        <v>-13209</v>
      </c>
      <c r="J225" s="402">
        <v>-17411</v>
      </c>
      <c r="K225" s="400">
        <v>62868.933300719495</v>
      </c>
      <c r="L225" s="400">
        <v>15982.27960002269</v>
      </c>
      <c r="M225" s="15">
        <v>78851.21290074219</v>
      </c>
      <c r="N225" s="397">
        <v>-9200</v>
      </c>
      <c r="P225" s="713">
        <v>-116745.9792165535</v>
      </c>
      <c r="Q225" s="714"/>
      <c r="R225" s="714"/>
      <c r="S225" s="715"/>
      <c r="T225" s="397">
        <v>132956.89616839358</v>
      </c>
      <c r="U225" s="398">
        <v>20250.754155234754</v>
      </c>
      <c r="V225" s="403">
        <v>36461.671107074828</v>
      </c>
      <c r="W225" s="416">
        <v>4207.9909625748696</v>
      </c>
      <c r="X225" s="180"/>
      <c r="Y225" s="180"/>
      <c r="Z225" s="15"/>
    </row>
    <row r="226" spans="1:26" x14ac:dyDescent="0.25">
      <c r="A226" s="111">
        <v>5763</v>
      </c>
      <c r="B226" s="119" t="s">
        <v>315</v>
      </c>
      <c r="C226" s="400">
        <v>-381827.48739134759</v>
      </c>
      <c r="D226" s="400">
        <v>0</v>
      </c>
      <c r="E226" s="401">
        <v>-51424.374173533601</v>
      </c>
      <c r="F226" s="397">
        <v>-433251.86156488117</v>
      </c>
      <c r="G226" s="400">
        <v>-18352</v>
      </c>
      <c r="H226" s="400">
        <v>0</v>
      </c>
      <c r="I226" s="400">
        <v>-66272</v>
      </c>
      <c r="J226" s="402">
        <v>-84624</v>
      </c>
      <c r="K226" s="400">
        <v>267537.13952058007</v>
      </c>
      <c r="L226" s="400">
        <v>68012.182531483413</v>
      </c>
      <c r="M226" s="15">
        <v>335549.32205206348</v>
      </c>
      <c r="N226" s="397">
        <v>0</v>
      </c>
      <c r="P226" s="713">
        <v>-182326.53951281769</v>
      </c>
      <c r="Q226" s="714"/>
      <c r="R226" s="714"/>
      <c r="S226" s="715"/>
      <c r="T226" s="397">
        <v>565794.67493557266</v>
      </c>
      <c r="U226" s="398">
        <v>86176.566952568333</v>
      </c>
      <c r="V226" s="403">
        <v>469644.70237532328</v>
      </c>
      <c r="W226" s="416">
        <v>17906.998037818605</v>
      </c>
      <c r="X226" s="180"/>
      <c r="Y226" s="180"/>
      <c r="Z226" s="15"/>
    </row>
    <row r="227" spans="1:26" x14ac:dyDescent="0.25">
      <c r="A227" s="111">
        <v>5764</v>
      </c>
      <c r="B227" s="119" t="s">
        <v>316</v>
      </c>
      <c r="C227" s="400">
        <v>-5707501.474000643</v>
      </c>
      <c r="D227" s="400">
        <v>-70558</v>
      </c>
      <c r="E227" s="401">
        <v>292470.71811469656</v>
      </c>
      <c r="F227" s="397">
        <v>-5485588.7558859466</v>
      </c>
      <c r="G227" s="400">
        <v>0</v>
      </c>
      <c r="H227" s="400">
        <v>-1160554</v>
      </c>
      <c r="I227" s="400">
        <v>0</v>
      </c>
      <c r="J227" s="402">
        <v>-1160554</v>
      </c>
      <c r="K227" s="400">
        <v>817647.0268486063</v>
      </c>
      <c r="L227" s="400">
        <v>480751.63672768982</v>
      </c>
      <c r="M227" s="15">
        <v>1298398.6635762961</v>
      </c>
      <c r="N227" s="397">
        <v>-347600</v>
      </c>
      <c r="P227" s="713">
        <v>-5695344.09230965</v>
      </c>
      <c r="Q227" s="714"/>
      <c r="R227" s="714"/>
      <c r="S227" s="715"/>
      <c r="T227" s="397">
        <v>3999382.2562770071</v>
      </c>
      <c r="U227" s="398">
        <v>701339.58748810261</v>
      </c>
      <c r="V227" s="403">
        <v>-994622.24854454037</v>
      </c>
      <c r="W227" s="416">
        <v>126577.59676475209</v>
      </c>
      <c r="X227" s="180"/>
      <c r="Y227" s="180"/>
      <c r="Z227" s="15"/>
    </row>
    <row r="228" spans="1:26" x14ac:dyDescent="0.25">
      <c r="A228" s="111">
        <v>5765</v>
      </c>
      <c r="B228" s="119" t="s">
        <v>317</v>
      </c>
      <c r="C228" s="400">
        <v>-681505.86277280247</v>
      </c>
      <c r="D228" s="400">
        <v>-10423</v>
      </c>
      <c r="E228" s="401">
        <v>13018.64705259465</v>
      </c>
      <c r="F228" s="397">
        <v>-678910.21572020778</v>
      </c>
      <c r="G228" s="400">
        <v>-99202</v>
      </c>
      <c r="H228" s="400">
        <v>-76384</v>
      </c>
      <c r="I228" s="400">
        <v>0</v>
      </c>
      <c r="J228" s="402">
        <v>-175586</v>
      </c>
      <c r="K228" s="400">
        <v>223024.09915437721</v>
      </c>
      <c r="L228" s="400">
        <v>56696.26193876662</v>
      </c>
      <c r="M228" s="15">
        <v>279720.36109314382</v>
      </c>
      <c r="N228" s="397">
        <v>0</v>
      </c>
      <c r="P228" s="713">
        <v>-574775.85462706396</v>
      </c>
      <c r="Q228" s="714"/>
      <c r="R228" s="714"/>
      <c r="S228" s="715"/>
      <c r="T228" s="397">
        <v>471657.31049517728</v>
      </c>
      <c r="U228" s="398">
        <v>71838.44174776708</v>
      </c>
      <c r="V228" s="403">
        <v>-31280.1023841196</v>
      </c>
      <c r="W228" s="416">
        <v>14927.617575265594</v>
      </c>
      <c r="X228" s="180"/>
      <c r="Y228" s="180"/>
      <c r="Z228" s="15"/>
    </row>
    <row r="229" spans="1:26" x14ac:dyDescent="0.25">
      <c r="A229" s="111">
        <v>5766</v>
      </c>
      <c r="B229" s="119" t="s">
        <v>318</v>
      </c>
      <c r="C229" s="400">
        <v>-746491.91825781099</v>
      </c>
      <c r="D229" s="400">
        <v>0</v>
      </c>
      <c r="E229" s="401">
        <v>-25571.184623826208</v>
      </c>
      <c r="F229" s="397">
        <v>-772063.10288163717</v>
      </c>
      <c r="G229" s="400">
        <v>-5248</v>
      </c>
      <c r="H229" s="400">
        <v>0</v>
      </c>
      <c r="I229" s="400">
        <v>0</v>
      </c>
      <c r="J229" s="402">
        <v>-5248</v>
      </c>
      <c r="K229" s="400">
        <v>268913.83149066882</v>
      </c>
      <c r="L229" s="400">
        <v>68362.159457031361</v>
      </c>
      <c r="M229" s="15">
        <v>337275.99094770016</v>
      </c>
      <c r="N229" s="397">
        <v>-48600</v>
      </c>
      <c r="P229" s="713">
        <v>-488635.11193393701</v>
      </c>
      <c r="Q229" s="714"/>
      <c r="R229" s="714"/>
      <c r="S229" s="715"/>
      <c r="T229" s="397">
        <v>568706.13981517253</v>
      </c>
      <c r="U229" s="398">
        <v>86620.014123850837</v>
      </c>
      <c r="V229" s="403">
        <v>166691.04200508638</v>
      </c>
      <c r="W229" s="416">
        <v>17999.143825320243</v>
      </c>
      <c r="X229" s="180"/>
      <c r="Y229" s="180"/>
      <c r="Z229" s="15"/>
    </row>
    <row r="230" spans="1:26" x14ac:dyDescent="0.25">
      <c r="A230" s="111">
        <v>5785</v>
      </c>
      <c r="B230" s="119" t="s">
        <v>319</v>
      </c>
      <c r="C230" s="400">
        <v>-335282.90093595954</v>
      </c>
      <c r="D230" s="400">
        <v>0</v>
      </c>
      <c r="E230" s="401">
        <v>-19739.308382104282</v>
      </c>
      <c r="F230" s="397">
        <v>-355022.2093180638</v>
      </c>
      <c r="G230" s="400">
        <v>-42583</v>
      </c>
      <c r="H230" s="400">
        <v>-19281</v>
      </c>
      <c r="I230" s="400">
        <v>0</v>
      </c>
      <c r="J230" s="402">
        <v>-61864</v>
      </c>
      <c r="K230" s="400">
        <v>229448.661681458</v>
      </c>
      <c r="L230" s="400">
        <v>58329.487591323683</v>
      </c>
      <c r="M230" s="15">
        <v>287778.14927278168</v>
      </c>
      <c r="N230" s="397">
        <v>0</v>
      </c>
      <c r="P230" s="713">
        <v>-129108.06004528212</v>
      </c>
      <c r="Q230" s="714"/>
      <c r="R230" s="714"/>
      <c r="S230" s="715"/>
      <c r="T230" s="397">
        <v>485244.14659997658</v>
      </c>
      <c r="U230" s="398">
        <v>73907.861880418801</v>
      </c>
      <c r="V230" s="403">
        <v>430043.94843511324</v>
      </c>
      <c r="W230" s="416">
        <v>15357.631250273245</v>
      </c>
      <c r="X230" s="180"/>
      <c r="Y230" s="180"/>
      <c r="Z230" s="15"/>
    </row>
    <row r="231" spans="1:26" x14ac:dyDescent="0.25">
      <c r="A231" s="111">
        <v>5790</v>
      </c>
      <c r="B231" s="119" t="s">
        <v>320</v>
      </c>
      <c r="C231" s="400">
        <v>-535282.12270190031</v>
      </c>
      <c r="D231" s="400">
        <v>0</v>
      </c>
      <c r="E231" s="401">
        <v>-54279.445105306251</v>
      </c>
      <c r="F231" s="397">
        <v>-589561.56780720653</v>
      </c>
      <c r="G231" s="400">
        <v>0</v>
      </c>
      <c r="H231" s="400">
        <v>-21865</v>
      </c>
      <c r="I231" s="400">
        <v>-35630</v>
      </c>
      <c r="J231" s="402">
        <v>-57495</v>
      </c>
      <c r="K231" s="400">
        <v>260194.78234677337</v>
      </c>
      <c r="L231" s="400">
        <v>66145.638928561064</v>
      </c>
      <c r="M231" s="15">
        <v>326340.42127533443</v>
      </c>
      <c r="N231" s="397">
        <v>-1100</v>
      </c>
      <c r="P231" s="713">
        <v>-321816.1465318721</v>
      </c>
      <c r="Q231" s="714"/>
      <c r="R231" s="714"/>
      <c r="S231" s="715"/>
      <c r="T231" s="397">
        <v>550266.86224437342</v>
      </c>
      <c r="U231" s="398">
        <v>83811.515372394933</v>
      </c>
      <c r="V231" s="403">
        <v>312262.23108489625</v>
      </c>
      <c r="W231" s="416">
        <v>17415.553837809861</v>
      </c>
      <c r="X231" s="180"/>
      <c r="Y231" s="180"/>
      <c r="Z231" s="15"/>
    </row>
    <row r="232" spans="1:26" x14ac:dyDescent="0.25">
      <c r="A232" s="111">
        <v>5792</v>
      </c>
      <c r="B232" s="119" t="s">
        <v>321</v>
      </c>
      <c r="C232" s="400">
        <v>-598879.60177956638</v>
      </c>
      <c r="D232" s="400">
        <v>0</v>
      </c>
      <c r="E232" s="401">
        <v>-10270.908194979798</v>
      </c>
      <c r="F232" s="397">
        <v>-609150.50997454615</v>
      </c>
      <c r="G232" s="400">
        <v>0</v>
      </c>
      <c r="H232" s="400">
        <v>-35080</v>
      </c>
      <c r="I232" s="400">
        <v>0</v>
      </c>
      <c r="J232" s="402">
        <v>-35080</v>
      </c>
      <c r="K232" s="400">
        <v>290023.10836536298</v>
      </c>
      <c r="L232" s="400">
        <v>73728.47231543313</v>
      </c>
      <c r="M232" s="15">
        <v>363751.58068079612</v>
      </c>
      <c r="N232" s="397">
        <v>-64900</v>
      </c>
      <c r="P232" s="713">
        <v>-345378.92929375003</v>
      </c>
      <c r="Q232" s="714"/>
      <c r="R232" s="714"/>
      <c r="S232" s="715"/>
      <c r="T232" s="397">
        <v>613348.60130237043</v>
      </c>
      <c r="U232" s="398">
        <v>93419.537416849373</v>
      </c>
      <c r="V232" s="403">
        <v>361389.20942546974</v>
      </c>
      <c r="W232" s="416">
        <v>19412.045900345383</v>
      </c>
      <c r="X232" s="180"/>
      <c r="Y232" s="180"/>
      <c r="Z232" s="15"/>
    </row>
    <row r="233" spans="1:26" x14ac:dyDescent="0.25">
      <c r="A233" s="111">
        <v>5798</v>
      </c>
      <c r="B233" s="119" t="s">
        <v>322</v>
      </c>
      <c r="C233" s="400">
        <v>-522503.36993523838</v>
      </c>
      <c r="D233" s="400">
        <v>0</v>
      </c>
      <c r="E233" s="401">
        <v>-25747.011968851584</v>
      </c>
      <c r="F233" s="397">
        <v>-548250.38190408994</v>
      </c>
      <c r="G233" s="400">
        <v>-5779</v>
      </c>
      <c r="H233" s="400">
        <v>-28531</v>
      </c>
      <c r="I233" s="400">
        <v>-10039</v>
      </c>
      <c r="J233" s="402">
        <v>-44349</v>
      </c>
      <c r="K233" s="400">
        <v>245510.06799916009</v>
      </c>
      <c r="L233" s="400">
        <v>62412.551722716344</v>
      </c>
      <c r="M233" s="15">
        <v>307922.61972187646</v>
      </c>
      <c r="N233" s="397">
        <v>0</v>
      </c>
      <c r="P233" s="713">
        <v>-284676.76218221348</v>
      </c>
      <c r="Q233" s="714"/>
      <c r="R233" s="714"/>
      <c r="S233" s="715"/>
      <c r="T233" s="397">
        <v>519211.23686197499</v>
      </c>
      <c r="U233" s="398">
        <v>79081.412212048133</v>
      </c>
      <c r="V233" s="403">
        <v>313615.88689180964</v>
      </c>
      <c r="W233" s="416">
        <v>16432.665437792373</v>
      </c>
      <c r="X233" s="180"/>
      <c r="Y233" s="180"/>
      <c r="Z233" s="15"/>
    </row>
    <row r="234" spans="1:26" x14ac:dyDescent="0.25">
      <c r="A234" s="111">
        <v>5799</v>
      </c>
      <c r="B234" s="119" t="s">
        <v>323</v>
      </c>
      <c r="C234" s="400">
        <v>-1469820.1695087403</v>
      </c>
      <c r="D234" s="400">
        <v>0</v>
      </c>
      <c r="E234" s="401">
        <v>-198784.76601186098</v>
      </c>
      <c r="F234" s="397">
        <v>-1668604.9355206012</v>
      </c>
      <c r="G234" s="400">
        <v>0</v>
      </c>
      <c r="H234" s="400">
        <v>-85026</v>
      </c>
      <c r="I234" s="400">
        <v>-84444</v>
      </c>
      <c r="J234" s="402">
        <v>-169470</v>
      </c>
      <c r="K234" s="400">
        <v>716592.6421306039</v>
      </c>
      <c r="L234" s="400">
        <v>253383.29409671007</v>
      </c>
      <c r="M234" s="15">
        <v>969975.93622731394</v>
      </c>
      <c r="N234" s="397">
        <v>0</v>
      </c>
      <c r="P234" s="713">
        <v>-868098.99929328728</v>
      </c>
      <c r="Q234" s="714"/>
      <c r="R234" s="714"/>
      <c r="S234" s="715"/>
      <c r="T234" s="397">
        <v>2107900.5728302984</v>
      </c>
      <c r="U234" s="398">
        <v>350404.61527820583</v>
      </c>
      <c r="V234" s="403">
        <v>1590206.188815217</v>
      </c>
      <c r="W234" s="416">
        <v>66713.550151186981</v>
      </c>
      <c r="X234" s="180"/>
      <c r="Y234" s="180"/>
      <c r="Z234" s="15"/>
    </row>
    <row r="235" spans="1:26" x14ac:dyDescent="0.25">
      <c r="A235" s="111">
        <v>5803</v>
      </c>
      <c r="B235" s="119" t="s">
        <v>324</v>
      </c>
      <c r="C235" s="400">
        <v>-691388.47386667703</v>
      </c>
      <c r="D235" s="400">
        <v>0</v>
      </c>
      <c r="E235" s="401">
        <v>-74753.733629678725</v>
      </c>
      <c r="F235" s="397">
        <v>-766142.20749635575</v>
      </c>
      <c r="G235" s="400">
        <v>-15547</v>
      </c>
      <c r="H235" s="400">
        <v>-2659</v>
      </c>
      <c r="I235" s="400">
        <v>-49622</v>
      </c>
      <c r="J235" s="402">
        <v>-67828</v>
      </c>
      <c r="K235" s="400">
        <v>296447.67089244374</v>
      </c>
      <c r="L235" s="400">
        <v>75361.6979679902</v>
      </c>
      <c r="M235" s="15">
        <v>371809.36886043393</v>
      </c>
      <c r="N235" s="397">
        <v>0</v>
      </c>
      <c r="P235" s="713">
        <v>-462160.83863592183</v>
      </c>
      <c r="Q235" s="714"/>
      <c r="R235" s="714"/>
      <c r="S235" s="715"/>
      <c r="T235" s="397">
        <v>626935.43740716972</v>
      </c>
      <c r="U235" s="398">
        <v>95488.957549501094</v>
      </c>
      <c r="V235" s="403">
        <v>260263.55632074899</v>
      </c>
      <c r="W235" s="416">
        <v>19842.059575353032</v>
      </c>
      <c r="X235" s="180"/>
      <c r="Y235" s="180"/>
      <c r="Z235" s="15"/>
    </row>
    <row r="236" spans="1:26" x14ac:dyDescent="0.25">
      <c r="A236" s="111">
        <v>5804</v>
      </c>
      <c r="B236" s="119" t="s">
        <v>325</v>
      </c>
      <c r="C236" s="400">
        <v>-1438879.4350426719</v>
      </c>
      <c r="D236" s="400">
        <v>0</v>
      </c>
      <c r="E236" s="401">
        <v>-196355.59870187275</v>
      </c>
      <c r="F236" s="397">
        <v>-1635235.0337445447</v>
      </c>
      <c r="G236" s="400">
        <v>-58093</v>
      </c>
      <c r="H236" s="400">
        <v>-84758</v>
      </c>
      <c r="I236" s="400">
        <v>-60569</v>
      </c>
      <c r="J236" s="402">
        <v>-203420</v>
      </c>
      <c r="K236" s="400">
        <v>581368.56274312269</v>
      </c>
      <c r="L236" s="400">
        <v>181638.02435938196</v>
      </c>
      <c r="M236" s="15">
        <v>763006.58710250468</v>
      </c>
      <c r="N236" s="397">
        <v>-113200</v>
      </c>
      <c r="P236" s="713">
        <v>-1188848.44664204</v>
      </c>
      <c r="Q236" s="714"/>
      <c r="R236" s="714"/>
      <c r="S236" s="715"/>
      <c r="T236" s="397">
        <v>1511050.2725123272</v>
      </c>
      <c r="U236" s="398">
        <v>244097.30445637868</v>
      </c>
      <c r="V236" s="403">
        <v>566299.13032666582</v>
      </c>
      <c r="W236" s="416">
        <v>47823.663713350885</v>
      </c>
      <c r="X236" s="180"/>
      <c r="Y236" s="180"/>
      <c r="Z236" s="15"/>
    </row>
    <row r="237" spans="1:26" x14ac:dyDescent="0.25">
      <c r="A237" s="111">
        <v>5805</v>
      </c>
      <c r="B237" s="119" t="s">
        <v>326</v>
      </c>
      <c r="C237" s="400">
        <v>-6636230.0437231837</v>
      </c>
      <c r="D237" s="400">
        <v>0</v>
      </c>
      <c r="E237" s="401">
        <v>-725846.25488545955</v>
      </c>
      <c r="F237" s="397">
        <v>-7362076.298608643</v>
      </c>
      <c r="G237" s="400">
        <v>0</v>
      </c>
      <c r="H237" s="400">
        <v>-32681</v>
      </c>
      <c r="I237" s="400">
        <v>0</v>
      </c>
      <c r="J237" s="402">
        <v>-32681</v>
      </c>
      <c r="K237" s="400">
        <v>669369.61628841981</v>
      </c>
      <c r="L237" s="400">
        <v>720135.85380248225</v>
      </c>
      <c r="M237" s="15">
        <v>1389505.4700909019</v>
      </c>
      <c r="N237" s="397">
        <v>-25500</v>
      </c>
      <c r="P237" s="713">
        <v>-6030751.8285177406</v>
      </c>
      <c r="Q237" s="714"/>
      <c r="R237" s="714"/>
      <c r="S237" s="715"/>
      <c r="T237" s="397">
        <v>5990824.2339233113</v>
      </c>
      <c r="U237" s="398">
        <v>1096422.7337474688</v>
      </c>
      <c r="V237" s="403">
        <v>1056495.1391530395</v>
      </c>
      <c r="W237" s="416">
        <v>189605.31541587348</v>
      </c>
      <c r="X237" s="180"/>
      <c r="Y237" s="180"/>
      <c r="Z237" s="15"/>
    </row>
    <row r="238" spans="1:26" x14ac:dyDescent="0.25">
      <c r="A238" s="111">
        <v>5806</v>
      </c>
      <c r="B238" s="119" t="s">
        <v>327</v>
      </c>
      <c r="C238" s="400">
        <v>-2995052.0609593731</v>
      </c>
      <c r="D238" s="400">
        <v>0</v>
      </c>
      <c r="E238" s="401">
        <v>-87860.041859890509</v>
      </c>
      <c r="F238" s="397">
        <v>-3082912.1028192635</v>
      </c>
      <c r="G238" s="400">
        <v>0</v>
      </c>
      <c r="H238" s="400">
        <v>-60643</v>
      </c>
      <c r="I238" s="400">
        <v>0</v>
      </c>
      <c r="J238" s="402">
        <v>-60643</v>
      </c>
      <c r="K238" s="400">
        <v>885860.41650202568</v>
      </c>
      <c r="L238" s="400">
        <v>370625.56415527069</v>
      </c>
      <c r="M238" s="15">
        <v>1256485.9806572963</v>
      </c>
      <c r="N238" s="397">
        <v>-136700</v>
      </c>
      <c r="P238" s="713">
        <v>-2023769.1221619672</v>
      </c>
      <c r="Q238" s="714"/>
      <c r="R238" s="714"/>
      <c r="S238" s="715"/>
      <c r="T238" s="397">
        <v>3083241.3074962515</v>
      </c>
      <c r="U238" s="398">
        <v>526342.50808905973</v>
      </c>
      <c r="V238" s="403">
        <v>1585814.6934233441</v>
      </c>
      <c r="W238" s="416">
        <v>97582.388964236205</v>
      </c>
      <c r="X238" s="180"/>
      <c r="Y238" s="180"/>
      <c r="Z238" s="15"/>
    </row>
    <row r="239" spans="1:26" x14ac:dyDescent="0.25">
      <c r="A239" s="111">
        <v>5812</v>
      </c>
      <c r="B239" s="119" t="s">
        <v>328</v>
      </c>
      <c r="C239" s="400">
        <v>-299837.86577263742</v>
      </c>
      <c r="D239" s="400">
        <v>-13084</v>
      </c>
      <c r="E239" s="401">
        <v>-7987.8815516712057</v>
      </c>
      <c r="F239" s="397">
        <v>-320909.74732430861</v>
      </c>
      <c r="G239" s="400">
        <v>-16418</v>
      </c>
      <c r="H239" s="400">
        <v>0</v>
      </c>
      <c r="I239" s="400">
        <v>0</v>
      </c>
      <c r="J239" s="402">
        <v>-16418</v>
      </c>
      <c r="K239" s="400">
        <v>86272.69679222822</v>
      </c>
      <c r="L239" s="400">
        <v>21931.887334337705</v>
      </c>
      <c r="M239" s="15">
        <v>108204.58412656593</v>
      </c>
      <c r="N239" s="397">
        <v>-5200</v>
      </c>
      <c r="P239" s="713">
        <v>-234323.16319774269</v>
      </c>
      <c r="Q239" s="714"/>
      <c r="R239" s="714"/>
      <c r="S239" s="715"/>
      <c r="T239" s="397">
        <v>182451.7991215912</v>
      </c>
      <c r="U239" s="398">
        <v>27789.356067037472</v>
      </c>
      <c r="V239" s="403">
        <v>-24082.008009114012</v>
      </c>
      <c r="W239" s="416">
        <v>5774.4693501027405</v>
      </c>
      <c r="X239" s="180"/>
      <c r="Y239" s="180"/>
      <c r="Z239" s="15"/>
    </row>
    <row r="240" spans="1:26" x14ac:dyDescent="0.25">
      <c r="A240" s="111">
        <v>5813</v>
      </c>
      <c r="B240" s="119" t="s">
        <v>329</v>
      </c>
      <c r="C240" s="400">
        <v>-341073.86080973904</v>
      </c>
      <c r="D240" s="400">
        <v>0</v>
      </c>
      <c r="E240" s="401">
        <v>-42577.421984445289</v>
      </c>
      <c r="F240" s="397">
        <v>-383651.28279418434</v>
      </c>
      <c r="G240" s="400">
        <v>0</v>
      </c>
      <c r="H240" s="400">
        <v>0</v>
      </c>
      <c r="I240" s="400">
        <v>0</v>
      </c>
      <c r="J240" s="402">
        <v>0</v>
      </c>
      <c r="K240" s="400">
        <v>240462.19744216802</v>
      </c>
      <c r="L240" s="400">
        <v>61129.302995707221</v>
      </c>
      <c r="M240" s="15">
        <v>301591.50043787522</v>
      </c>
      <c r="N240" s="397">
        <v>0</v>
      </c>
      <c r="P240" s="713">
        <v>-82059.782356309122</v>
      </c>
      <c r="Q240" s="714"/>
      <c r="R240" s="714"/>
      <c r="S240" s="715"/>
      <c r="T240" s="397">
        <v>508535.8656367755</v>
      </c>
      <c r="U240" s="398">
        <v>77455.439250678915</v>
      </c>
      <c r="V240" s="403">
        <v>503931.52253114531</v>
      </c>
      <c r="W240" s="416">
        <v>16094.797550286361</v>
      </c>
      <c r="X240" s="180"/>
      <c r="Y240" s="180"/>
      <c r="Z240" s="15"/>
    </row>
    <row r="241" spans="1:26" x14ac:dyDescent="0.25">
      <c r="A241" s="111">
        <v>5816</v>
      </c>
      <c r="B241" s="119" t="s">
        <v>330</v>
      </c>
      <c r="C241" s="400">
        <v>-3887047.0446113856</v>
      </c>
      <c r="D241" s="400">
        <v>-12367</v>
      </c>
      <c r="E241" s="401">
        <v>-116180.730867668</v>
      </c>
      <c r="F241" s="397">
        <v>-4015594.7754790536</v>
      </c>
      <c r="G241" s="400">
        <v>0</v>
      </c>
      <c r="H241" s="400">
        <v>0</v>
      </c>
      <c r="I241" s="400">
        <v>0</v>
      </c>
      <c r="J241" s="402">
        <v>0</v>
      </c>
      <c r="K241" s="400">
        <v>879960.92015482904</v>
      </c>
      <c r="L241" s="400">
        <v>340060.91265741707</v>
      </c>
      <c r="M241" s="15">
        <v>1220021.8328122462</v>
      </c>
      <c r="N241" s="397">
        <v>0</v>
      </c>
      <c r="P241" s="713">
        <v>-2795572.9426668072</v>
      </c>
      <c r="Q241" s="714"/>
      <c r="R241" s="714"/>
      <c r="S241" s="715"/>
      <c r="T241" s="397">
        <v>2828973.3746778634</v>
      </c>
      <c r="U241" s="398">
        <v>478837.67534425086</v>
      </c>
      <c r="V241" s="403">
        <v>512238.10735530709</v>
      </c>
      <c r="W241" s="416">
        <v>89534.99018909302</v>
      </c>
      <c r="X241" s="180"/>
      <c r="Y241" s="180"/>
      <c r="Z241" s="15"/>
    </row>
    <row r="242" spans="1:26" x14ac:dyDescent="0.25">
      <c r="A242" s="111">
        <v>5817</v>
      </c>
      <c r="B242" s="119" t="s">
        <v>331</v>
      </c>
      <c r="C242" s="400">
        <v>-1286566.2519320832</v>
      </c>
      <c r="D242" s="400">
        <v>0</v>
      </c>
      <c r="E242" s="401">
        <v>-135361.37266479383</v>
      </c>
      <c r="F242" s="397">
        <v>-1421927.624596877</v>
      </c>
      <c r="G242" s="400">
        <v>-24115</v>
      </c>
      <c r="H242" s="400">
        <v>0</v>
      </c>
      <c r="I242" s="400">
        <v>-15213</v>
      </c>
      <c r="J242" s="402">
        <v>-39328</v>
      </c>
      <c r="K242" s="400">
        <v>460216.58267401339</v>
      </c>
      <c r="L242" s="400">
        <v>117358.92903374325</v>
      </c>
      <c r="M242" s="15">
        <v>577575.51170775667</v>
      </c>
      <c r="N242" s="397">
        <v>0</v>
      </c>
      <c r="P242" s="713">
        <v>-883680.11288912036</v>
      </c>
      <c r="Q242" s="714"/>
      <c r="R242" s="714"/>
      <c r="S242" s="715"/>
      <c r="T242" s="397">
        <v>976311.22295915289</v>
      </c>
      <c r="U242" s="398">
        <v>148852.86825666029</v>
      </c>
      <c r="V242" s="403">
        <v>241483.97832669283</v>
      </c>
      <c r="W242" s="416">
        <v>30899.554075549768</v>
      </c>
      <c r="X242" s="180"/>
      <c r="Y242" s="180"/>
      <c r="Z242" s="15"/>
    </row>
    <row r="243" spans="1:26" x14ac:dyDescent="0.25">
      <c r="A243" s="111">
        <v>5819</v>
      </c>
      <c r="B243" s="119" t="s">
        <v>332</v>
      </c>
      <c r="C243" s="400">
        <v>-539900.37825389684</v>
      </c>
      <c r="D243" s="400">
        <v>0</v>
      </c>
      <c r="E243" s="401">
        <v>3557.5701890493219</v>
      </c>
      <c r="F243" s="397">
        <v>-536342.80806484749</v>
      </c>
      <c r="G243" s="400">
        <v>0</v>
      </c>
      <c r="H243" s="400">
        <v>0</v>
      </c>
      <c r="I243" s="400">
        <v>-67747</v>
      </c>
      <c r="J243" s="402">
        <v>-67747</v>
      </c>
      <c r="K243" s="400">
        <v>208339.38480676388</v>
      </c>
      <c r="L243" s="400">
        <v>52963.174732921907</v>
      </c>
      <c r="M243" s="15">
        <v>261302.55953968578</v>
      </c>
      <c r="N243" s="397">
        <v>0</v>
      </c>
      <c r="P243" s="713">
        <v>-342787.2485251617</v>
      </c>
      <c r="Q243" s="714"/>
      <c r="R243" s="714"/>
      <c r="S243" s="715"/>
      <c r="T243" s="397">
        <v>440601.68511277874</v>
      </c>
      <c r="U243" s="398">
        <v>67108.33858742028</v>
      </c>
      <c r="V243" s="403">
        <v>164922.77517503733</v>
      </c>
      <c r="W243" s="416">
        <v>13944.729175248107</v>
      </c>
      <c r="X243" s="180"/>
      <c r="Y243" s="180"/>
      <c r="Z243" s="15"/>
    </row>
    <row r="244" spans="1:26" x14ac:dyDescent="0.25">
      <c r="A244" s="111">
        <v>5821</v>
      </c>
      <c r="B244" s="119" t="s">
        <v>333</v>
      </c>
      <c r="C244" s="400">
        <v>-520914.75465140794</v>
      </c>
      <c r="D244" s="400">
        <v>-6149</v>
      </c>
      <c r="E244" s="401">
        <v>-59869.844920106632</v>
      </c>
      <c r="F244" s="397">
        <v>-586933.59957151453</v>
      </c>
      <c r="G244" s="400">
        <v>-565</v>
      </c>
      <c r="H244" s="400">
        <v>0</v>
      </c>
      <c r="I244" s="400">
        <v>-44731</v>
      </c>
      <c r="J244" s="402">
        <v>-45296</v>
      </c>
      <c r="K244" s="400">
        <v>173004.29090781938</v>
      </c>
      <c r="L244" s="400">
        <v>43980.433643858058</v>
      </c>
      <c r="M244" s="15">
        <v>216984.72455167744</v>
      </c>
      <c r="N244" s="397">
        <v>0</v>
      </c>
      <c r="P244" s="713">
        <v>-415244.87501983705</v>
      </c>
      <c r="Q244" s="714"/>
      <c r="R244" s="714"/>
      <c r="S244" s="715"/>
      <c r="T244" s="397">
        <v>365874.08653638238</v>
      </c>
      <c r="U244" s="398">
        <v>55726.527857835776</v>
      </c>
      <c r="V244" s="403">
        <v>6355.7393743811044</v>
      </c>
      <c r="W244" s="416">
        <v>11579.653962706027</v>
      </c>
      <c r="X244" s="180"/>
      <c r="Y244" s="180"/>
      <c r="Z244" s="15"/>
    </row>
    <row r="245" spans="1:26" x14ac:dyDescent="0.25">
      <c r="A245" s="111">
        <v>5822</v>
      </c>
      <c r="B245" s="119" t="s">
        <v>104</v>
      </c>
      <c r="C245" s="400">
        <v>-13671480.172962481</v>
      </c>
      <c r="D245" s="400">
        <v>0</v>
      </c>
      <c r="E245" s="401">
        <v>-983314.50091503409</v>
      </c>
      <c r="F245" s="397">
        <v>-14654794.673877515</v>
      </c>
      <c r="G245" s="400">
        <v>0</v>
      </c>
      <c r="H245" s="400">
        <v>0</v>
      </c>
      <c r="I245" s="400">
        <v>0</v>
      </c>
      <c r="J245" s="402">
        <v>0</v>
      </c>
      <c r="K245" s="400">
        <v>351136.81116801966</v>
      </c>
      <c r="L245" s="400">
        <v>1053935.5805068612</v>
      </c>
      <c r="M245" s="15">
        <v>1405072.3916748809</v>
      </c>
      <c r="N245" s="397">
        <v>0</v>
      </c>
      <c r="P245" s="713">
        <v>-13249722.282202635</v>
      </c>
      <c r="Q245" s="714"/>
      <c r="R245" s="714"/>
      <c r="S245" s="715"/>
      <c r="T245" s="397">
        <v>10264854.677175906</v>
      </c>
      <c r="U245" s="398">
        <v>1967970.4061724702</v>
      </c>
      <c r="V245" s="403">
        <v>-1016897.1988542592</v>
      </c>
      <c r="W245" s="416">
        <v>324875.33146828023</v>
      </c>
      <c r="X245" s="180"/>
      <c r="Y245" s="180"/>
      <c r="Z245" s="15"/>
    </row>
    <row r="246" spans="1:26" x14ac:dyDescent="0.25">
      <c r="A246" s="111">
        <v>5827</v>
      </c>
      <c r="B246" s="119" t="s">
        <v>334</v>
      </c>
      <c r="C246" s="400">
        <v>-408266.26768648409</v>
      </c>
      <c r="D246" s="400">
        <v>0</v>
      </c>
      <c r="E246" s="401">
        <v>-60245.897280725701</v>
      </c>
      <c r="F246" s="397">
        <v>-468512.1649672098</v>
      </c>
      <c r="G246" s="400">
        <v>-13273</v>
      </c>
      <c r="H246" s="400">
        <v>0</v>
      </c>
      <c r="I246" s="400">
        <v>-12358</v>
      </c>
      <c r="J246" s="402">
        <v>-25631</v>
      </c>
      <c r="K246" s="400">
        <v>144552.65685931858</v>
      </c>
      <c r="L246" s="400">
        <v>36747.577182533918</v>
      </c>
      <c r="M246" s="15">
        <v>181300.2340418525</v>
      </c>
      <c r="N246" s="397">
        <v>-13300</v>
      </c>
      <c r="P246" s="713">
        <v>-326142.93092535727</v>
      </c>
      <c r="Q246" s="714"/>
      <c r="R246" s="714"/>
      <c r="S246" s="715"/>
      <c r="T246" s="397">
        <v>305703.81235798524</v>
      </c>
      <c r="U246" s="398">
        <v>46561.952984663847</v>
      </c>
      <c r="V246" s="403">
        <v>26122.834417291815</v>
      </c>
      <c r="W246" s="416">
        <v>9675.3076876721443</v>
      </c>
      <c r="X246" s="180"/>
      <c r="Y246" s="180"/>
      <c r="Z246" s="15"/>
    </row>
    <row r="247" spans="1:26" x14ac:dyDescent="0.25">
      <c r="A247" s="111">
        <v>5828</v>
      </c>
      <c r="B247" s="119" t="s">
        <v>335</v>
      </c>
      <c r="C247" s="400">
        <v>-137144.62476594659</v>
      </c>
      <c r="D247" s="400">
        <v>0</v>
      </c>
      <c r="E247" s="401">
        <v>-20771.493027298733</v>
      </c>
      <c r="F247" s="397">
        <v>-157916.11779324533</v>
      </c>
      <c r="G247" s="400">
        <v>-23850</v>
      </c>
      <c r="H247" s="400">
        <v>0</v>
      </c>
      <c r="I247" s="400">
        <v>0</v>
      </c>
      <c r="J247" s="402">
        <v>-23850</v>
      </c>
      <c r="K247" s="400">
        <v>50019.808246557848</v>
      </c>
      <c r="L247" s="400">
        <v>12715.828294908562</v>
      </c>
      <c r="M247" s="15">
        <v>62735.636541466411</v>
      </c>
      <c r="N247" s="397">
        <v>-10100</v>
      </c>
      <c r="P247" s="713">
        <v>-129130.48125177893</v>
      </c>
      <c r="Q247" s="714"/>
      <c r="R247" s="714"/>
      <c r="S247" s="715"/>
      <c r="T247" s="397">
        <v>105783.2239587949</v>
      </c>
      <c r="U247" s="398">
        <v>16111.9138899313</v>
      </c>
      <c r="V247" s="403">
        <v>-7235.3434030527242</v>
      </c>
      <c r="W247" s="416">
        <v>3347.9636125595675</v>
      </c>
      <c r="X247" s="180"/>
      <c r="Y247" s="180"/>
      <c r="Z247" s="15"/>
    </row>
    <row r="248" spans="1:26" x14ac:dyDescent="0.25">
      <c r="A248" s="111">
        <v>5830</v>
      </c>
      <c r="B248" s="119" t="s">
        <v>336</v>
      </c>
      <c r="C248" s="400">
        <v>-686621.4835698863</v>
      </c>
      <c r="D248" s="400">
        <v>0</v>
      </c>
      <c r="E248" s="401">
        <v>-53942.353801209501</v>
      </c>
      <c r="F248" s="397">
        <v>-740563.83737109578</v>
      </c>
      <c r="G248" s="400">
        <v>-37951</v>
      </c>
      <c r="H248" s="400">
        <v>-1613</v>
      </c>
      <c r="I248" s="400">
        <v>-22226</v>
      </c>
      <c r="J248" s="402">
        <v>-61790</v>
      </c>
      <c r="K248" s="400">
        <v>240921.09476553096</v>
      </c>
      <c r="L248" s="400">
        <v>61245.961970889868</v>
      </c>
      <c r="M248" s="15">
        <v>302167.05673642084</v>
      </c>
      <c r="N248" s="397">
        <v>-7700</v>
      </c>
      <c r="P248" s="713">
        <v>-507886.78063467494</v>
      </c>
      <c r="Q248" s="714"/>
      <c r="R248" s="714"/>
      <c r="S248" s="715"/>
      <c r="T248" s="397">
        <v>509506.35392997542</v>
      </c>
      <c r="U248" s="398">
        <v>77603.25497443974</v>
      </c>
      <c r="V248" s="403">
        <v>79222.828269740217</v>
      </c>
      <c r="W248" s="416">
        <v>16125.512812786908</v>
      </c>
      <c r="X248" s="180"/>
      <c r="Y248" s="180"/>
      <c r="Z248" s="15"/>
    </row>
    <row r="249" spans="1:26" x14ac:dyDescent="0.25">
      <c r="A249" s="111">
        <v>5831</v>
      </c>
      <c r="B249" s="119" t="s">
        <v>337</v>
      </c>
      <c r="C249" s="400">
        <v>-4018764.3167141783</v>
      </c>
      <c r="D249" s="400">
        <v>0</v>
      </c>
      <c r="E249" s="401">
        <v>-300378.55289889436</v>
      </c>
      <c r="F249" s="397">
        <v>-4319142.8696130728</v>
      </c>
      <c r="G249" s="400">
        <v>-70505</v>
      </c>
      <c r="H249" s="400">
        <v>-4990</v>
      </c>
      <c r="I249" s="400">
        <v>0</v>
      </c>
      <c r="J249" s="402">
        <v>-75495</v>
      </c>
      <c r="K249" s="400">
        <v>869312.88871533819</v>
      </c>
      <c r="L249" s="400">
        <v>397340.46947209694</v>
      </c>
      <c r="M249" s="15">
        <v>1266653.3581874352</v>
      </c>
      <c r="N249" s="397">
        <v>-354600</v>
      </c>
      <c r="P249" s="713">
        <v>-3482584.5114256376</v>
      </c>
      <c r="Q249" s="714"/>
      <c r="R249" s="714"/>
      <c r="S249" s="715"/>
      <c r="T249" s="397">
        <v>3305483.1266390407</v>
      </c>
      <c r="U249" s="398">
        <v>568794.13010429358</v>
      </c>
      <c r="V249" s="403">
        <v>391692.74531769659</v>
      </c>
      <c r="W249" s="416">
        <v>104616.18407686135</v>
      </c>
      <c r="X249" s="180"/>
      <c r="Y249" s="180"/>
      <c r="Z249" s="15"/>
    </row>
    <row r="250" spans="1:26" x14ac:dyDescent="0.25">
      <c r="A250" s="111">
        <v>5841</v>
      </c>
      <c r="B250" s="119" t="s">
        <v>101</v>
      </c>
      <c r="C250" s="400">
        <v>-2208879.1207499029</v>
      </c>
      <c r="D250" s="400">
        <v>0</v>
      </c>
      <c r="E250" s="401">
        <v>8537.1842297440162</v>
      </c>
      <c r="F250" s="397">
        <v>-2200341.9365201588</v>
      </c>
      <c r="G250" s="400">
        <v>-711107</v>
      </c>
      <c r="H250" s="400">
        <v>-1493183</v>
      </c>
      <c r="I250" s="400">
        <v>0</v>
      </c>
      <c r="J250" s="402">
        <v>-2204290</v>
      </c>
      <c r="K250" s="400">
        <v>853487.96039531846</v>
      </c>
      <c r="L250" s="400">
        <v>422888.78503709671</v>
      </c>
      <c r="M250" s="15">
        <v>1276376.745432415</v>
      </c>
      <c r="N250" s="397">
        <v>-170200</v>
      </c>
      <c r="P250" s="713">
        <v>-3298455.1910877442</v>
      </c>
      <c r="Q250" s="714"/>
      <c r="R250" s="714"/>
      <c r="S250" s="715"/>
      <c r="T250" s="397">
        <v>3518020.0628498304</v>
      </c>
      <c r="U250" s="398">
        <v>609391.96949877497</v>
      </c>
      <c r="V250" s="403">
        <v>828956.84126086114</v>
      </c>
      <c r="W250" s="416">
        <v>111342.82656448103</v>
      </c>
      <c r="X250" s="180"/>
      <c r="Y250" s="180"/>
      <c r="Z250" s="15"/>
    </row>
    <row r="251" spans="1:26" x14ac:dyDescent="0.25">
      <c r="A251" s="111">
        <v>5842</v>
      </c>
      <c r="B251" s="119" t="s">
        <v>338</v>
      </c>
      <c r="C251" s="400">
        <v>-478298.45064664207</v>
      </c>
      <c r="D251" s="400">
        <v>0</v>
      </c>
      <c r="E251" s="401">
        <v>-35104.831068266343</v>
      </c>
      <c r="F251" s="397">
        <v>-513403.28171490843</v>
      </c>
      <c r="G251" s="400">
        <v>-181774</v>
      </c>
      <c r="H251" s="400">
        <v>-249737</v>
      </c>
      <c r="I251" s="400">
        <v>-19476</v>
      </c>
      <c r="J251" s="402">
        <v>-450987</v>
      </c>
      <c r="K251" s="400">
        <v>242756.68405898259</v>
      </c>
      <c r="L251" s="400">
        <v>61712.597871620455</v>
      </c>
      <c r="M251" s="15">
        <v>304469.28193060303</v>
      </c>
      <c r="N251" s="397">
        <v>0</v>
      </c>
      <c r="P251" s="713">
        <v>-659920.99978430546</v>
      </c>
      <c r="Q251" s="714"/>
      <c r="R251" s="714"/>
      <c r="S251" s="715"/>
      <c r="T251" s="397">
        <v>513388.30710277526</v>
      </c>
      <c r="U251" s="398">
        <v>78194.517869483097</v>
      </c>
      <c r="V251" s="403">
        <v>-68338.174812047102</v>
      </c>
      <c r="W251" s="416">
        <v>16248.373862789094</v>
      </c>
      <c r="X251" s="180"/>
      <c r="Y251" s="180"/>
      <c r="Z251" s="15"/>
    </row>
    <row r="252" spans="1:26" x14ac:dyDescent="0.25">
      <c r="A252" s="111">
        <v>5843</v>
      </c>
      <c r="B252" s="119" t="s">
        <v>339</v>
      </c>
      <c r="C252" s="400">
        <v>2812877.1083961874</v>
      </c>
      <c r="D252" s="400">
        <v>0</v>
      </c>
      <c r="E252" s="401">
        <v>867082.68885568995</v>
      </c>
      <c r="F252" s="397">
        <v>3679959.7972518774</v>
      </c>
      <c r="G252" s="400">
        <v>-369654</v>
      </c>
      <c r="H252" s="400">
        <v>-343230</v>
      </c>
      <c r="I252" s="400">
        <v>0</v>
      </c>
      <c r="J252" s="402">
        <v>-712884</v>
      </c>
      <c r="K252" s="400">
        <v>365282.26939688122</v>
      </c>
      <c r="L252" s="400">
        <v>92860.544245387311</v>
      </c>
      <c r="M252" s="15">
        <v>458142.81364226853</v>
      </c>
      <c r="N252" s="397">
        <v>0</v>
      </c>
      <c r="P252" s="713">
        <v>3425218.6108941459</v>
      </c>
      <c r="Q252" s="714"/>
      <c r="R252" s="714"/>
      <c r="S252" s="715"/>
      <c r="T252" s="397">
        <v>772508.68138716277</v>
      </c>
      <c r="U252" s="398">
        <v>117661.31611362674</v>
      </c>
      <c r="V252" s="403">
        <v>4315388.6083949357</v>
      </c>
      <c r="W252" s="416">
        <v>24449.348950435007</v>
      </c>
      <c r="X252" s="180"/>
      <c r="Y252" s="180"/>
      <c r="Z252" s="15"/>
    </row>
    <row r="253" spans="1:26" x14ac:dyDescent="0.25">
      <c r="A253" s="111">
        <v>5851</v>
      </c>
      <c r="B253" s="119" t="s">
        <v>340</v>
      </c>
      <c r="C253" s="400">
        <v>49649.784556354854</v>
      </c>
      <c r="D253" s="400">
        <v>0</v>
      </c>
      <c r="E253" s="401">
        <v>243906.71197462612</v>
      </c>
      <c r="F253" s="397">
        <v>293556.49653098098</v>
      </c>
      <c r="G253" s="400">
        <v>0</v>
      </c>
      <c r="H253" s="400">
        <v>0</v>
      </c>
      <c r="I253" s="400">
        <v>0</v>
      </c>
      <c r="J253" s="402">
        <v>0</v>
      </c>
      <c r="K253" s="400">
        <v>197784.74636941683</v>
      </c>
      <c r="L253" s="400">
        <v>50280.018303721015</v>
      </c>
      <c r="M253" s="15">
        <v>248064.76467313783</v>
      </c>
      <c r="N253" s="397">
        <v>0</v>
      </c>
      <c r="P253" s="713">
        <v>541621.26120411884</v>
      </c>
      <c r="Q253" s="714"/>
      <c r="R253" s="714"/>
      <c r="S253" s="715"/>
      <c r="T253" s="397">
        <v>418280.45436917985</v>
      </c>
      <c r="U253" s="398">
        <v>63708.576940921004</v>
      </c>
      <c r="V253" s="403">
        <v>1023610.2925142198</v>
      </c>
      <c r="W253" s="416">
        <v>13238.278137735537</v>
      </c>
      <c r="X253" s="180"/>
      <c r="Y253" s="180"/>
      <c r="Z253" s="15"/>
    </row>
    <row r="254" spans="1:26" x14ac:dyDescent="0.25">
      <c r="A254" s="111">
        <v>5852</v>
      </c>
      <c r="B254" s="119" t="s">
        <v>341</v>
      </c>
      <c r="C254" s="400">
        <v>580366.84892561741</v>
      </c>
      <c r="D254" s="400">
        <v>0</v>
      </c>
      <c r="E254" s="401">
        <v>-39212.156534152753</v>
      </c>
      <c r="F254" s="397">
        <v>541154.6923914646</v>
      </c>
      <c r="G254" s="400">
        <v>0</v>
      </c>
      <c r="H254" s="400">
        <v>0</v>
      </c>
      <c r="I254" s="400">
        <v>-26888</v>
      </c>
      <c r="J254" s="402">
        <v>-26888</v>
      </c>
      <c r="K254" s="400">
        <v>239085.5054720793</v>
      </c>
      <c r="L254" s="400">
        <v>60779.326070159281</v>
      </c>
      <c r="M254" s="15">
        <v>299864.83154223859</v>
      </c>
      <c r="N254" s="397">
        <v>0</v>
      </c>
      <c r="P254" s="713">
        <v>814131.5239337032</v>
      </c>
      <c r="Q254" s="714"/>
      <c r="R254" s="714"/>
      <c r="S254" s="715"/>
      <c r="T254" s="397">
        <v>505624.40075717564</v>
      </c>
      <c r="U254" s="398">
        <v>77011.992079396397</v>
      </c>
      <c r="V254" s="403">
        <v>1396767.9167702754</v>
      </c>
      <c r="W254" s="416">
        <v>16002.651762784722</v>
      </c>
      <c r="X254" s="180"/>
      <c r="Y254" s="180"/>
      <c r="Z254" s="15"/>
    </row>
    <row r="255" spans="1:26" x14ac:dyDescent="0.25">
      <c r="A255" s="111">
        <v>5853</v>
      </c>
      <c r="B255" s="119" t="s">
        <v>342</v>
      </c>
      <c r="C255" s="400">
        <v>278769.08385915298</v>
      </c>
      <c r="D255" s="400">
        <v>0</v>
      </c>
      <c r="E255" s="401">
        <v>35441.623855690006</v>
      </c>
      <c r="F255" s="397">
        <v>314210.70771484298</v>
      </c>
      <c r="G255" s="400">
        <v>0</v>
      </c>
      <c r="H255" s="400">
        <v>0</v>
      </c>
      <c r="I255" s="400">
        <v>0</v>
      </c>
      <c r="J255" s="402">
        <v>0</v>
      </c>
      <c r="K255" s="400">
        <v>365282.26939688122</v>
      </c>
      <c r="L255" s="400">
        <v>92860.544245387311</v>
      </c>
      <c r="M255" s="15">
        <v>458142.81364226853</v>
      </c>
      <c r="N255" s="397">
        <v>0</v>
      </c>
      <c r="P255" s="713">
        <v>772353.52135711152</v>
      </c>
      <c r="Q255" s="714"/>
      <c r="R255" s="714"/>
      <c r="S255" s="715"/>
      <c r="T255" s="397">
        <v>772508.68138716277</v>
      </c>
      <c r="U255" s="398">
        <v>117661.31611362674</v>
      </c>
      <c r="V255" s="403">
        <v>1662523.5188579012</v>
      </c>
      <c r="W255" s="416">
        <v>24449.348950435007</v>
      </c>
      <c r="X255" s="180"/>
      <c r="Y255" s="180"/>
      <c r="Z255" s="15"/>
    </row>
    <row r="256" spans="1:26" x14ac:dyDescent="0.25">
      <c r="A256" s="111">
        <v>5854</v>
      </c>
      <c r="B256" s="119" t="s">
        <v>343</v>
      </c>
      <c r="C256" s="400">
        <v>-155033.0420208624</v>
      </c>
      <c r="D256" s="400">
        <v>0</v>
      </c>
      <c r="E256" s="401">
        <v>-53419.043506853923</v>
      </c>
      <c r="F256" s="397">
        <v>-208452.08552771632</v>
      </c>
      <c r="G256" s="400">
        <v>-25269</v>
      </c>
      <c r="H256" s="400">
        <v>-11006</v>
      </c>
      <c r="I256" s="400">
        <v>-4839</v>
      </c>
      <c r="J256" s="402">
        <v>-41114</v>
      </c>
      <c r="K256" s="400">
        <v>189065.69722552141</v>
      </c>
      <c r="L256" s="400">
        <v>48063.497775250718</v>
      </c>
      <c r="M256" s="15">
        <v>237129.19500077213</v>
      </c>
      <c r="N256" s="397">
        <v>0</v>
      </c>
      <c r="P256" s="713">
        <v>-12436.890526944189</v>
      </c>
      <c r="Q256" s="714"/>
      <c r="R256" s="714"/>
      <c r="S256" s="715"/>
      <c r="T256" s="397">
        <v>399841.17679838074</v>
      </c>
      <c r="U256" s="398">
        <v>60900.078189465101</v>
      </c>
      <c r="V256" s="403">
        <v>448304.36446090165</v>
      </c>
      <c r="W256" s="416">
        <v>12654.688150225154</v>
      </c>
      <c r="X256" s="180"/>
      <c r="Y256" s="180"/>
      <c r="Z256" s="15"/>
    </row>
    <row r="257" spans="1:26" x14ac:dyDescent="0.25">
      <c r="A257" s="111">
        <v>5855</v>
      </c>
      <c r="B257" s="119" t="s">
        <v>344</v>
      </c>
      <c r="C257" s="400">
        <v>2608931.1561635393</v>
      </c>
      <c r="D257" s="400">
        <v>0</v>
      </c>
      <c r="E257" s="401">
        <v>37745.456805020207</v>
      </c>
      <c r="F257" s="397">
        <v>2646676.6129685594</v>
      </c>
      <c r="G257" s="400">
        <v>0</v>
      </c>
      <c r="H257" s="400">
        <v>0</v>
      </c>
      <c r="I257" s="400">
        <v>0</v>
      </c>
      <c r="J257" s="402">
        <v>0</v>
      </c>
      <c r="K257" s="400">
        <v>290023.10836536298</v>
      </c>
      <c r="L257" s="400">
        <v>73728.47231543313</v>
      </c>
      <c r="M257" s="15">
        <v>363751.58068079612</v>
      </c>
      <c r="N257" s="397">
        <v>0</v>
      </c>
      <c r="P257" s="713">
        <v>3010428.1936493553</v>
      </c>
      <c r="Q257" s="714"/>
      <c r="R257" s="714"/>
      <c r="S257" s="715"/>
      <c r="T257" s="397">
        <v>613348.60130237043</v>
      </c>
      <c r="U257" s="398">
        <v>93419.537416849373</v>
      </c>
      <c r="V257" s="403">
        <v>3717196.332368575</v>
      </c>
      <c r="W257" s="416">
        <v>19412.045900345383</v>
      </c>
      <c r="X257" s="180"/>
      <c r="Y257" s="180"/>
      <c r="Z257" s="15"/>
    </row>
    <row r="258" spans="1:26" x14ac:dyDescent="0.25">
      <c r="A258" s="111">
        <v>5856</v>
      </c>
      <c r="B258" s="119" t="s">
        <v>345</v>
      </c>
      <c r="C258" s="400">
        <v>141475.34734344968</v>
      </c>
      <c r="D258" s="400">
        <v>0</v>
      </c>
      <c r="E258" s="401">
        <v>-14776.885274912172</v>
      </c>
      <c r="F258" s="397">
        <v>126698.46206853751</v>
      </c>
      <c r="G258" s="400">
        <v>-10375</v>
      </c>
      <c r="H258" s="400">
        <v>-5517</v>
      </c>
      <c r="I258" s="400">
        <v>-33732</v>
      </c>
      <c r="J258" s="402">
        <v>-49624</v>
      </c>
      <c r="K258" s="400">
        <v>352433.14434271958</v>
      </c>
      <c r="L258" s="400">
        <v>89594.092940273171</v>
      </c>
      <c r="M258" s="15">
        <v>442027.23728299275</v>
      </c>
      <c r="N258" s="397">
        <v>0</v>
      </c>
      <c r="P258" s="713">
        <v>519101.69935153029</v>
      </c>
      <c r="Q258" s="714"/>
      <c r="R258" s="714"/>
      <c r="S258" s="715"/>
      <c r="T258" s="397">
        <v>745335.00917756406</v>
      </c>
      <c r="U258" s="398">
        <v>113522.47584832329</v>
      </c>
      <c r="V258" s="403">
        <v>1377959.1843774174</v>
      </c>
      <c r="W258" s="416">
        <v>23589.321600419706</v>
      </c>
      <c r="X258" s="180"/>
      <c r="Y258" s="180"/>
      <c r="Z258" s="15"/>
    </row>
    <row r="259" spans="1:26" x14ac:dyDescent="0.25">
      <c r="A259" s="111">
        <v>5857</v>
      </c>
      <c r="B259" s="119" t="s">
        <v>346</v>
      </c>
      <c r="C259" s="400">
        <v>1127992.4972134053</v>
      </c>
      <c r="D259" s="400">
        <v>0</v>
      </c>
      <c r="E259" s="401">
        <v>-134193.65472720764</v>
      </c>
      <c r="F259" s="397">
        <v>993798.84248619771</v>
      </c>
      <c r="G259" s="400">
        <v>0</v>
      </c>
      <c r="H259" s="400">
        <v>-1998</v>
      </c>
      <c r="I259" s="400">
        <v>0</v>
      </c>
      <c r="J259" s="402">
        <v>-1998</v>
      </c>
      <c r="K259" s="400">
        <v>563338.68549145851</v>
      </c>
      <c r="L259" s="400">
        <v>172071.98839440488</v>
      </c>
      <c r="M259" s="15">
        <v>735410.67388586339</v>
      </c>
      <c r="N259" s="397">
        <v>0</v>
      </c>
      <c r="P259" s="713">
        <v>1727211.5163720611</v>
      </c>
      <c r="Q259" s="714"/>
      <c r="R259" s="714"/>
      <c r="S259" s="715"/>
      <c r="T259" s="397">
        <v>1431470.232469931</v>
      </c>
      <c r="U259" s="398">
        <v>229922.99634680172</v>
      </c>
      <c r="V259" s="403">
        <v>3388604.7451887936</v>
      </c>
      <c r="W259" s="416">
        <v>45305.012188306071</v>
      </c>
      <c r="X259" s="180"/>
      <c r="Y259" s="180"/>
      <c r="Z259" s="15"/>
    </row>
    <row r="260" spans="1:26" x14ac:dyDescent="0.25">
      <c r="A260" s="111">
        <v>5858</v>
      </c>
      <c r="B260" s="119" t="s">
        <v>347</v>
      </c>
      <c r="C260" s="400">
        <v>182985.69917499469</v>
      </c>
      <c r="D260" s="400">
        <v>0</v>
      </c>
      <c r="E260" s="401">
        <v>102730.90725531282</v>
      </c>
      <c r="F260" s="397">
        <v>285716.6064303075</v>
      </c>
      <c r="G260" s="400">
        <v>0</v>
      </c>
      <c r="H260" s="400">
        <v>0</v>
      </c>
      <c r="I260" s="400">
        <v>-17649</v>
      </c>
      <c r="J260" s="402">
        <v>-17649</v>
      </c>
      <c r="K260" s="400">
        <v>288646.41639527422</v>
      </c>
      <c r="L260" s="400">
        <v>73378.495389885196</v>
      </c>
      <c r="M260" s="15">
        <v>362024.91178515943</v>
      </c>
      <c r="N260" s="397">
        <v>0</v>
      </c>
      <c r="P260" s="713">
        <v>630092.51821546699</v>
      </c>
      <c r="Q260" s="714"/>
      <c r="R260" s="714"/>
      <c r="S260" s="715"/>
      <c r="T260" s="397">
        <v>610437.13642277056</v>
      </c>
      <c r="U260" s="398">
        <v>92976.090245566855</v>
      </c>
      <c r="V260" s="403">
        <v>1333505.7448838043</v>
      </c>
      <c r="W260" s="416">
        <v>19319.900112843741</v>
      </c>
      <c r="X260" s="180"/>
      <c r="Y260" s="180"/>
      <c r="Z260" s="15"/>
    </row>
    <row r="261" spans="1:26" x14ac:dyDescent="0.25">
      <c r="A261" s="111">
        <v>5859</v>
      </c>
      <c r="B261" s="119" t="s">
        <v>348</v>
      </c>
      <c r="C261" s="400">
        <v>2582967.6399603193</v>
      </c>
      <c r="D261" s="400">
        <v>0</v>
      </c>
      <c r="E261" s="401">
        <v>1965.0221284433501</v>
      </c>
      <c r="F261" s="397">
        <v>2584932.6620887625</v>
      </c>
      <c r="G261" s="400">
        <v>0</v>
      </c>
      <c r="H261" s="400">
        <v>-658</v>
      </c>
      <c r="I261" s="400">
        <v>0</v>
      </c>
      <c r="J261" s="402">
        <v>-658</v>
      </c>
      <c r="K261" s="400">
        <v>851157.09186253627</v>
      </c>
      <c r="L261" s="400">
        <v>324778.58690849028</v>
      </c>
      <c r="M261" s="15">
        <v>1175935.6787710264</v>
      </c>
      <c r="N261" s="397">
        <v>0</v>
      </c>
      <c r="P261" s="713">
        <v>3760210.3408597889</v>
      </c>
      <c r="Q261" s="714"/>
      <c r="R261" s="714"/>
      <c r="S261" s="715"/>
      <c r="T261" s="397">
        <v>2701839.4082686696</v>
      </c>
      <c r="U261" s="398">
        <v>456193.35385212174</v>
      </c>
      <c r="V261" s="403">
        <v>6918243.1029805811</v>
      </c>
      <c r="W261" s="416">
        <v>85511.290801521434</v>
      </c>
      <c r="X261" s="180"/>
      <c r="Y261" s="180"/>
      <c r="Z261" s="15"/>
    </row>
    <row r="262" spans="1:26" x14ac:dyDescent="0.25">
      <c r="A262" s="111">
        <v>5860</v>
      </c>
      <c r="B262" s="119" t="s">
        <v>349</v>
      </c>
      <c r="C262" s="400">
        <v>1890606.3089791744</v>
      </c>
      <c r="D262" s="400">
        <v>0</v>
      </c>
      <c r="E262" s="401">
        <v>-49357.766822733713</v>
      </c>
      <c r="F262" s="397">
        <v>1841248.5421564407</v>
      </c>
      <c r="G262" s="400">
        <v>0</v>
      </c>
      <c r="H262" s="400">
        <v>0</v>
      </c>
      <c r="I262" s="400">
        <v>0</v>
      </c>
      <c r="J262" s="402">
        <v>0</v>
      </c>
      <c r="K262" s="400">
        <v>590823.25447265385</v>
      </c>
      <c r="L262" s="400">
        <v>186654.3602922358</v>
      </c>
      <c r="M262" s="15">
        <v>777477.6147648897</v>
      </c>
      <c r="N262" s="397">
        <v>0</v>
      </c>
      <c r="P262" s="713">
        <v>2618726.1569213304</v>
      </c>
      <c r="Q262" s="714"/>
      <c r="R262" s="714"/>
      <c r="S262" s="715"/>
      <c r="T262" s="397">
        <v>1552781.2691199251</v>
      </c>
      <c r="U262" s="398">
        <v>251530.17334310809</v>
      </c>
      <c r="V262" s="403">
        <v>4423037.5993843637</v>
      </c>
      <c r="W262" s="416">
        <v>49144.420000874386</v>
      </c>
      <c r="X262" s="180"/>
      <c r="Y262" s="180"/>
      <c r="Z262" s="15"/>
    </row>
    <row r="263" spans="1:26" x14ac:dyDescent="0.25">
      <c r="A263" s="111">
        <v>5861</v>
      </c>
      <c r="B263" s="119" t="s">
        <v>350</v>
      </c>
      <c r="C263" s="400">
        <v>14441546.380920921</v>
      </c>
      <c r="D263" s="400">
        <v>0</v>
      </c>
      <c r="E263" s="401">
        <v>550125.35142056225</v>
      </c>
      <c r="F263" s="397">
        <v>14991671.732341483</v>
      </c>
      <c r="G263" s="400">
        <v>0</v>
      </c>
      <c r="H263" s="400">
        <v>0</v>
      </c>
      <c r="I263" s="400">
        <v>0</v>
      </c>
      <c r="J263" s="402">
        <v>0</v>
      </c>
      <c r="K263" s="400">
        <v>649136.83122172765</v>
      </c>
      <c r="L263" s="400">
        <v>597613.30685362348</v>
      </c>
      <c r="M263" s="15">
        <v>1246750.1380753512</v>
      </c>
      <c r="N263" s="397">
        <v>0</v>
      </c>
      <c r="P263" s="713">
        <v>16238421.870416835</v>
      </c>
      <c r="Q263" s="714"/>
      <c r="R263" s="714"/>
      <c r="S263" s="715"/>
      <c r="T263" s="397">
        <v>6262560.9560192982</v>
      </c>
      <c r="U263" s="398">
        <v>1151834.4840378866</v>
      </c>
      <c r="V263" s="403">
        <v>23652817.310474019</v>
      </c>
      <c r="W263" s="416">
        <v>198205.58891602649</v>
      </c>
      <c r="X263" s="180"/>
      <c r="Y263" s="180"/>
      <c r="Z263" s="15"/>
    </row>
    <row r="264" spans="1:26" x14ac:dyDescent="0.25">
      <c r="A264" s="111">
        <v>5862</v>
      </c>
      <c r="B264" s="119" t="s">
        <v>351</v>
      </c>
      <c r="C264" s="400">
        <v>-31960.40847394861</v>
      </c>
      <c r="D264" s="400">
        <v>0</v>
      </c>
      <c r="E264" s="401">
        <v>-17611.524191052144</v>
      </c>
      <c r="F264" s="397">
        <v>-49571.932665000757</v>
      </c>
      <c r="G264" s="400">
        <v>0</v>
      </c>
      <c r="H264" s="400">
        <v>0</v>
      </c>
      <c r="I264" s="400">
        <v>0</v>
      </c>
      <c r="J264" s="402">
        <v>0</v>
      </c>
      <c r="K264" s="400">
        <v>114724.330840729</v>
      </c>
      <c r="L264" s="400">
        <v>29164.743795661841</v>
      </c>
      <c r="M264" s="15">
        <v>143889.07463639084</v>
      </c>
      <c r="N264" s="397">
        <v>0</v>
      </c>
      <c r="P264" s="713">
        <v>94317.141971390083</v>
      </c>
      <c r="Q264" s="714"/>
      <c r="R264" s="714"/>
      <c r="S264" s="715"/>
      <c r="T264" s="397">
        <v>242622.07329998829</v>
      </c>
      <c r="U264" s="398">
        <v>36953.9309402094</v>
      </c>
      <c r="V264" s="403">
        <v>373893.14621158782</v>
      </c>
      <c r="W264" s="416">
        <v>7678.8156251366227</v>
      </c>
      <c r="X264" s="180"/>
      <c r="Y264" s="180"/>
      <c r="Z264" s="15"/>
    </row>
    <row r="265" spans="1:26" x14ac:dyDescent="0.25">
      <c r="A265" s="111">
        <v>5863</v>
      </c>
      <c r="B265" s="119" t="s">
        <v>352</v>
      </c>
      <c r="C265" s="400">
        <v>216725.55873805846</v>
      </c>
      <c r="D265" s="400">
        <v>0</v>
      </c>
      <c r="E265" s="401">
        <v>-37848.492187163472</v>
      </c>
      <c r="F265" s="397">
        <v>178877.06655089499</v>
      </c>
      <c r="G265" s="400">
        <v>0</v>
      </c>
      <c r="H265" s="400">
        <v>0</v>
      </c>
      <c r="I265" s="400">
        <v>0</v>
      </c>
      <c r="J265" s="402">
        <v>0</v>
      </c>
      <c r="K265" s="400">
        <v>174839.88020127104</v>
      </c>
      <c r="L265" s="400">
        <v>44447.069544588645</v>
      </c>
      <c r="M265" s="15">
        <v>219286.94974585969</v>
      </c>
      <c r="N265" s="397">
        <v>0</v>
      </c>
      <c r="P265" s="713">
        <v>398164.01629675471</v>
      </c>
      <c r="Q265" s="714"/>
      <c r="R265" s="714"/>
      <c r="S265" s="715"/>
      <c r="T265" s="397">
        <v>369756.03970918217</v>
      </c>
      <c r="U265" s="398">
        <v>56317.790752879126</v>
      </c>
      <c r="V265" s="403">
        <v>824237.84675881593</v>
      </c>
      <c r="W265" s="416">
        <v>11702.515012708212</v>
      </c>
      <c r="X265" s="180"/>
      <c r="Y265" s="180"/>
      <c r="Z265" s="15"/>
    </row>
    <row r="266" spans="1:26" x14ac:dyDescent="0.25">
      <c r="A266" s="111">
        <v>5871</v>
      </c>
      <c r="B266" s="119" t="s">
        <v>353</v>
      </c>
      <c r="C266" s="400">
        <v>-1270399.4949702213</v>
      </c>
      <c r="D266" s="400">
        <v>0</v>
      </c>
      <c r="E266" s="401">
        <v>97134.938083704095</v>
      </c>
      <c r="F266" s="397">
        <v>-1173264.5568865172</v>
      </c>
      <c r="G266" s="400">
        <v>-206290</v>
      </c>
      <c r="H266" s="400">
        <v>-182840</v>
      </c>
      <c r="I266" s="400">
        <v>0</v>
      </c>
      <c r="J266" s="402">
        <v>-389130</v>
      </c>
      <c r="K266" s="400">
        <v>576311.40205058269</v>
      </c>
      <c r="L266" s="400">
        <v>178954.86793018106</v>
      </c>
      <c r="M266" s="15">
        <v>755266.26998076378</v>
      </c>
      <c r="N266" s="397">
        <v>0</v>
      </c>
      <c r="P266" s="713">
        <v>-807128.28690575343</v>
      </c>
      <c r="Q266" s="714"/>
      <c r="R266" s="714"/>
      <c r="S266" s="715"/>
      <c r="T266" s="397">
        <v>1488729.0417687283</v>
      </c>
      <c r="U266" s="398">
        <v>240121.58388905833</v>
      </c>
      <c r="V266" s="403">
        <v>921722.33875203319</v>
      </c>
      <c r="W266" s="416">
        <v>47117.212675838316</v>
      </c>
      <c r="X266" s="180"/>
      <c r="Y266" s="180"/>
      <c r="Z266" s="15"/>
    </row>
    <row r="267" spans="1:26" x14ac:dyDescent="0.25">
      <c r="A267" s="111">
        <v>5872</v>
      </c>
      <c r="B267" s="119" t="s">
        <v>354</v>
      </c>
      <c r="C267" s="400">
        <v>4809656.604374419</v>
      </c>
      <c r="D267" s="400">
        <v>0</v>
      </c>
      <c r="E267" s="401">
        <v>1447875.4544070493</v>
      </c>
      <c r="F267" s="397">
        <v>6257532.0587814683</v>
      </c>
      <c r="G267" s="400">
        <v>-646249</v>
      </c>
      <c r="H267" s="400">
        <v>-349643</v>
      </c>
      <c r="I267" s="400">
        <v>0</v>
      </c>
      <c r="J267" s="402">
        <v>-995892</v>
      </c>
      <c r="K267" s="400">
        <v>774941.39836855326</v>
      </c>
      <c r="L267" s="400">
        <v>549697.09106063435</v>
      </c>
      <c r="M267" s="15">
        <v>1324638.4894291875</v>
      </c>
      <c r="N267" s="397">
        <v>-61200</v>
      </c>
      <c r="P267" s="713">
        <v>6525078.5482106563</v>
      </c>
      <c r="Q267" s="714"/>
      <c r="R267" s="714"/>
      <c r="S267" s="715"/>
      <c r="T267" s="397">
        <v>4572940.8375581792</v>
      </c>
      <c r="U267" s="398">
        <v>810898.1403745797</v>
      </c>
      <c r="V267" s="403">
        <v>11908917.526143415</v>
      </c>
      <c r="W267" s="416">
        <v>144730.31690257505</v>
      </c>
      <c r="X267" s="180"/>
      <c r="Y267" s="180"/>
      <c r="Z267" s="15"/>
    </row>
    <row r="268" spans="1:26" x14ac:dyDescent="0.25">
      <c r="A268" s="111">
        <v>5873</v>
      </c>
      <c r="B268" s="119" t="s">
        <v>355</v>
      </c>
      <c r="C268" s="400">
        <v>-653796.58983358217</v>
      </c>
      <c r="D268" s="400">
        <v>0</v>
      </c>
      <c r="E268" s="401">
        <v>180624.89674457017</v>
      </c>
      <c r="F268" s="397">
        <v>-473171.693089012</v>
      </c>
      <c r="G268" s="400">
        <v>-262104</v>
      </c>
      <c r="H268" s="400">
        <v>-65398</v>
      </c>
      <c r="I268" s="400">
        <v>0</v>
      </c>
      <c r="J268" s="402">
        <v>-327502</v>
      </c>
      <c r="K268" s="400">
        <v>417596.56426025362</v>
      </c>
      <c r="L268" s="400">
        <v>106159.66741620911</v>
      </c>
      <c r="M268" s="15">
        <v>523756.23167646275</v>
      </c>
      <c r="N268" s="397">
        <v>-288100</v>
      </c>
      <c r="P268" s="713">
        <v>-565017.46141254925</v>
      </c>
      <c r="Q268" s="714"/>
      <c r="R268" s="714"/>
      <c r="S268" s="715"/>
      <c r="T268" s="397">
        <v>883144.34681195742</v>
      </c>
      <c r="U268" s="398">
        <v>134512.30862236221</v>
      </c>
      <c r="V268" s="403">
        <v>452639.19402177038</v>
      </c>
      <c r="W268" s="416">
        <v>27950.888875497305</v>
      </c>
      <c r="X268" s="180"/>
      <c r="Y268" s="180"/>
      <c r="Z268" s="15"/>
    </row>
    <row r="269" spans="1:26" x14ac:dyDescent="0.25">
      <c r="A269" s="111">
        <v>5882</v>
      </c>
      <c r="B269" s="119" t="s">
        <v>356</v>
      </c>
      <c r="C269" s="400">
        <v>1799437.536392072</v>
      </c>
      <c r="D269" s="400">
        <v>0</v>
      </c>
      <c r="E269" s="401">
        <v>582564.95323367172</v>
      </c>
      <c r="F269" s="397">
        <v>2382002.4896257436</v>
      </c>
      <c r="G269" s="400">
        <v>0</v>
      </c>
      <c r="H269" s="400">
        <v>-205105</v>
      </c>
      <c r="I269" s="400">
        <v>0</v>
      </c>
      <c r="J269" s="402">
        <v>-205105</v>
      </c>
      <c r="K269" s="400">
        <v>881091.26002201973</v>
      </c>
      <c r="L269" s="400">
        <v>378325.0565173254</v>
      </c>
      <c r="M269" s="15">
        <v>1259416.3165393451</v>
      </c>
      <c r="N269" s="397">
        <v>0</v>
      </c>
      <c r="P269" s="713">
        <v>3436313.8061650889</v>
      </c>
      <c r="Q269" s="714"/>
      <c r="R269" s="714"/>
      <c r="S269" s="715"/>
      <c r="T269" s="397">
        <v>3147293.5348474481</v>
      </c>
      <c r="U269" s="398">
        <v>99609.596289272275</v>
      </c>
      <c r="V269" s="403">
        <v>6683216.9373018099</v>
      </c>
      <c r="W269" s="416">
        <v>99609.596289272275</v>
      </c>
      <c r="X269" s="180"/>
      <c r="Y269" s="180"/>
      <c r="Z269" s="15"/>
    </row>
    <row r="270" spans="1:26" x14ac:dyDescent="0.25">
      <c r="A270" s="111">
        <v>5883</v>
      </c>
      <c r="B270" s="119" t="s">
        <v>357</v>
      </c>
      <c r="C270" s="400">
        <v>3082092.274452548</v>
      </c>
      <c r="D270" s="400">
        <v>0</v>
      </c>
      <c r="E270" s="401">
        <v>381315.87558851624</v>
      </c>
      <c r="F270" s="397">
        <v>3463408.1500410642</v>
      </c>
      <c r="G270" s="400">
        <v>0</v>
      </c>
      <c r="H270" s="400">
        <v>0</v>
      </c>
      <c r="I270" s="400">
        <v>0</v>
      </c>
      <c r="J270" s="402">
        <v>0</v>
      </c>
      <c r="K270" s="400">
        <v>753312.02628948074</v>
      </c>
      <c r="L270" s="400">
        <v>95755.542952212214</v>
      </c>
      <c r="M270" s="15">
        <v>849067.56924169301</v>
      </c>
      <c r="N270" s="397">
        <v>0</v>
      </c>
      <c r="P270" s="713">
        <v>4312475.7192827575</v>
      </c>
      <c r="Q270" s="714"/>
      <c r="R270" s="714"/>
      <c r="S270" s="715"/>
      <c r="T270" s="397">
        <v>2269972.1177946907</v>
      </c>
      <c r="U270" s="398">
        <v>71842.998988778243</v>
      </c>
      <c r="V270" s="403">
        <v>6654290.8360662265</v>
      </c>
      <c r="W270" s="416">
        <v>71842.998988778243</v>
      </c>
      <c r="X270" s="180"/>
      <c r="Y270" s="180"/>
      <c r="Z270" s="15"/>
    </row>
    <row r="271" spans="1:26" x14ac:dyDescent="0.25">
      <c r="A271" s="111">
        <v>5884</v>
      </c>
      <c r="B271" s="119" t="s">
        <v>358</v>
      </c>
      <c r="C271" s="400">
        <v>-1058527.5222951004</v>
      </c>
      <c r="D271" s="400">
        <v>0</v>
      </c>
      <c r="E271" s="401">
        <v>-23933.954684471246</v>
      </c>
      <c r="F271" s="397">
        <v>-1082461.4769795716</v>
      </c>
      <c r="G271" s="400">
        <v>0</v>
      </c>
      <c r="H271" s="400">
        <v>-165175</v>
      </c>
      <c r="I271" s="400">
        <v>0</v>
      </c>
      <c r="J271" s="402">
        <v>-165175</v>
      </c>
      <c r="K271" s="400">
        <v>867650.90994200297</v>
      </c>
      <c r="L271" s="400">
        <v>-79966.174098702148</v>
      </c>
      <c r="M271" s="15">
        <v>787684.73584330082</v>
      </c>
      <c r="N271" s="397">
        <v>0</v>
      </c>
      <c r="P271" s="713">
        <v>-459951.74113627081</v>
      </c>
      <c r="Q271" s="714"/>
      <c r="R271" s="714"/>
      <c r="S271" s="715"/>
      <c r="T271" s="397">
        <v>3327804.3573826393</v>
      </c>
      <c r="U271" s="398">
        <v>105322.63511437392</v>
      </c>
      <c r="V271" s="403">
        <v>2973175.2513607428</v>
      </c>
      <c r="W271" s="416">
        <v>105322.63511437392</v>
      </c>
      <c r="X271" s="180"/>
      <c r="Y271" s="180"/>
      <c r="Z271" s="15"/>
    </row>
    <row r="272" spans="1:26" x14ac:dyDescent="0.25">
      <c r="A272" s="111">
        <v>5885</v>
      </c>
      <c r="B272" s="119" t="s">
        <v>359</v>
      </c>
      <c r="C272" s="400">
        <v>264613.13391324377</v>
      </c>
      <c r="D272" s="400">
        <v>0</v>
      </c>
      <c r="E272" s="401">
        <v>5876.050446247973</v>
      </c>
      <c r="F272" s="397">
        <v>270489.18435949174</v>
      </c>
      <c r="G272" s="400">
        <v>0</v>
      </c>
      <c r="H272" s="400">
        <v>-21756</v>
      </c>
      <c r="I272" s="400">
        <v>0</v>
      </c>
      <c r="J272" s="402">
        <v>-21756</v>
      </c>
      <c r="K272" s="400">
        <v>660743.99796081474</v>
      </c>
      <c r="L272" s="400">
        <v>223751.91440031765</v>
      </c>
      <c r="M272" s="15">
        <v>884495.91236113245</v>
      </c>
      <c r="N272" s="397">
        <v>0</v>
      </c>
      <c r="P272" s="713">
        <v>1133229.0967206242</v>
      </c>
      <c r="Q272" s="714"/>
      <c r="R272" s="714"/>
      <c r="S272" s="715"/>
      <c r="T272" s="397">
        <v>1861396.5463575101</v>
      </c>
      <c r="U272" s="398">
        <v>58911.873476048168</v>
      </c>
      <c r="V272" s="403">
        <v>3053537.5165541824</v>
      </c>
      <c r="W272" s="416">
        <v>58911.873476048168</v>
      </c>
      <c r="X272" s="180"/>
      <c r="Y272" s="180"/>
      <c r="Z272" s="15"/>
    </row>
    <row r="273" spans="1:26" x14ac:dyDescent="0.25">
      <c r="A273" s="111">
        <v>5886</v>
      </c>
      <c r="B273" s="119" t="s">
        <v>360</v>
      </c>
      <c r="C273" s="400">
        <v>-6798073.3786769286</v>
      </c>
      <c r="D273" s="400">
        <v>0</v>
      </c>
      <c r="E273" s="401">
        <v>1175922.1234989353</v>
      </c>
      <c r="F273" s="397">
        <v>-5622151.2551779933</v>
      </c>
      <c r="G273" s="400">
        <v>0</v>
      </c>
      <c r="H273" s="400">
        <v>-603794</v>
      </c>
      <c r="I273" s="400">
        <v>0</v>
      </c>
      <c r="J273" s="402">
        <v>-603794</v>
      </c>
      <c r="K273" s="400">
        <v>-7363126.0937402863</v>
      </c>
      <c r="L273" s="400">
        <v>843747.91697670752</v>
      </c>
      <c r="M273" s="15">
        <v>-6519378.1767635792</v>
      </c>
      <c r="N273" s="397">
        <v>0</v>
      </c>
      <c r="P273" s="713">
        <v>-12745323.431941573</v>
      </c>
      <c r="Q273" s="714"/>
      <c r="R273" s="714"/>
      <c r="S273" s="715"/>
      <c r="T273" s="397">
        <v>26044994.324607145</v>
      </c>
      <c r="U273" s="398">
        <v>824305.49972716614</v>
      </c>
      <c r="V273" s="403">
        <v>14123976.392392738</v>
      </c>
      <c r="W273" s="416">
        <v>824305.49972716614</v>
      </c>
      <c r="X273" s="180"/>
      <c r="Y273" s="180"/>
      <c r="Z273" s="15"/>
    </row>
    <row r="274" spans="1:26" x14ac:dyDescent="0.25">
      <c r="A274" s="111">
        <v>5889</v>
      </c>
      <c r="B274" s="119" t="s">
        <v>361</v>
      </c>
      <c r="C274" s="400">
        <v>9008840.996825289</v>
      </c>
      <c r="D274" s="400">
        <v>0</v>
      </c>
      <c r="E274" s="401">
        <v>-850282.8253128489</v>
      </c>
      <c r="F274" s="397">
        <v>8158558.1715124398</v>
      </c>
      <c r="G274" s="400">
        <v>0</v>
      </c>
      <c r="H274" s="400">
        <v>0</v>
      </c>
      <c r="I274" s="400">
        <v>0</v>
      </c>
      <c r="J274" s="402">
        <v>0</v>
      </c>
      <c r="K274" s="400">
        <v>-36418.971948130056</v>
      </c>
      <c r="L274" s="400">
        <v>457451.78217727004</v>
      </c>
      <c r="M274" s="15">
        <v>421032.81022913998</v>
      </c>
      <c r="N274" s="397">
        <v>0</v>
      </c>
      <c r="P274" s="713">
        <v>8579590.9817415792</v>
      </c>
      <c r="Q274" s="714"/>
      <c r="R274" s="714"/>
      <c r="S274" s="715"/>
      <c r="T274" s="397">
        <v>12233004.935785411</v>
      </c>
      <c r="U274" s="398">
        <v>387165.88381938852</v>
      </c>
      <c r="V274" s="403">
        <v>21199761.80134638</v>
      </c>
      <c r="W274" s="416">
        <v>387165.88381938852</v>
      </c>
      <c r="X274" s="180"/>
      <c r="Y274" s="180"/>
      <c r="Z274" s="15"/>
    </row>
    <row r="275" spans="1:26" x14ac:dyDescent="0.25">
      <c r="A275" s="111">
        <v>5890</v>
      </c>
      <c r="B275" s="119" t="s">
        <v>362</v>
      </c>
      <c r="C275" s="400">
        <v>3195786.715774646</v>
      </c>
      <c r="D275" s="400">
        <v>0</v>
      </c>
      <c r="E275" s="401">
        <v>-1103274.5868826234</v>
      </c>
      <c r="F275" s="397">
        <v>2092512.1288920227</v>
      </c>
      <c r="G275" s="400">
        <v>0</v>
      </c>
      <c r="H275" s="400">
        <v>0</v>
      </c>
      <c r="I275" s="400">
        <v>0</v>
      </c>
      <c r="J275" s="402">
        <v>0</v>
      </c>
      <c r="K275" s="400">
        <v>-3863471.1835254729</v>
      </c>
      <c r="L275" s="400">
        <v>450109.44480625796</v>
      </c>
      <c r="M275" s="15">
        <v>-3413361.7387192147</v>
      </c>
      <c r="N275" s="397">
        <v>0</v>
      </c>
      <c r="P275" s="713">
        <v>-1320849.609827192</v>
      </c>
      <c r="Q275" s="714"/>
      <c r="R275" s="714"/>
      <c r="S275" s="715"/>
      <c r="T275" s="397">
        <v>19560191.549445055</v>
      </c>
      <c r="U275" s="398">
        <v>619066.11569851451</v>
      </c>
      <c r="V275" s="403">
        <v>18858408.055316381</v>
      </c>
      <c r="W275" s="416">
        <v>619066.11569851451</v>
      </c>
      <c r="X275" s="180"/>
      <c r="Y275" s="180"/>
      <c r="Z275" s="15"/>
    </row>
    <row r="276" spans="1:26" x14ac:dyDescent="0.25">
      <c r="A276" s="111">
        <v>5891</v>
      </c>
      <c r="B276" s="119" t="s">
        <v>363</v>
      </c>
      <c r="C276" s="400">
        <v>-157250.99826829112</v>
      </c>
      <c r="D276" s="400">
        <v>0</v>
      </c>
      <c r="E276" s="401">
        <v>42737.098686084064</v>
      </c>
      <c r="F276" s="397">
        <v>-114513.89958220706</v>
      </c>
      <c r="G276" s="400">
        <v>0</v>
      </c>
      <c r="H276" s="400">
        <v>-6692</v>
      </c>
      <c r="I276" s="400">
        <v>0</v>
      </c>
      <c r="J276" s="402">
        <v>-6692</v>
      </c>
      <c r="K276" s="400">
        <v>457520.63139282732</v>
      </c>
      <c r="L276" s="400">
        <v>20023.398257099427</v>
      </c>
      <c r="M276" s="15">
        <v>477544.02964992676</v>
      </c>
      <c r="N276" s="397">
        <v>-254100</v>
      </c>
      <c r="P276" s="713">
        <v>102238.13006771973</v>
      </c>
      <c r="Q276" s="714"/>
      <c r="R276" s="714"/>
      <c r="S276" s="715"/>
      <c r="T276" s="397">
        <v>967576.82832035329</v>
      </c>
      <c r="U276" s="398">
        <v>30623.116713044852</v>
      </c>
      <c r="V276" s="403">
        <v>1100438.0751011178</v>
      </c>
      <c r="W276" s="416">
        <v>30623.116713044852</v>
      </c>
      <c r="X276" s="180"/>
      <c r="Y276" s="180"/>
      <c r="Z276" s="15"/>
    </row>
    <row r="277" spans="1:26" x14ac:dyDescent="0.25">
      <c r="A277" s="111">
        <v>5892</v>
      </c>
      <c r="B277" s="119" t="s">
        <v>364</v>
      </c>
      <c r="C277" s="400">
        <v>6476300.3299165173</v>
      </c>
      <c r="D277" s="400">
        <v>0</v>
      </c>
      <c r="E277" s="401">
        <v>914874.34612966608</v>
      </c>
      <c r="F277" s="397">
        <v>7391174.6760461833</v>
      </c>
      <c r="G277" s="400">
        <v>0</v>
      </c>
      <c r="H277" s="400">
        <v>-215792</v>
      </c>
      <c r="I277" s="400">
        <v>0</v>
      </c>
      <c r="J277" s="402">
        <v>-215792</v>
      </c>
      <c r="K277" s="400">
        <v>88297.421336958185</v>
      </c>
      <c r="L277" s="400">
        <v>809485.35375386837</v>
      </c>
      <c r="M277" s="15">
        <v>897782.77509082656</v>
      </c>
      <c r="N277" s="397">
        <v>-324400</v>
      </c>
      <c r="P277" s="713">
        <v>7748765.45113701</v>
      </c>
      <c r="Q277" s="714"/>
      <c r="R277" s="714"/>
      <c r="S277" s="715"/>
      <c r="T277" s="397">
        <v>11975825.538087422</v>
      </c>
      <c r="U277" s="398">
        <v>379026.33925674367</v>
      </c>
      <c r="V277" s="403">
        <v>20103617.328481179</v>
      </c>
      <c r="W277" s="416">
        <v>379026.33925674367</v>
      </c>
      <c r="X277" s="180"/>
      <c r="Y277" s="180"/>
      <c r="Z277" s="15"/>
    </row>
    <row r="278" spans="1:26" x14ac:dyDescent="0.25">
      <c r="A278" s="111">
        <v>5902</v>
      </c>
      <c r="B278" s="119" t="s">
        <v>365</v>
      </c>
      <c r="C278" s="400">
        <v>-437848.02176375361</v>
      </c>
      <c r="D278" s="400">
        <v>0</v>
      </c>
      <c r="E278" s="401">
        <v>-58412.519826544391</v>
      </c>
      <c r="F278" s="397">
        <v>-496260.541590298</v>
      </c>
      <c r="G278" s="400">
        <v>-31716</v>
      </c>
      <c r="H278" s="400">
        <v>0</v>
      </c>
      <c r="I278" s="400">
        <v>-12952</v>
      </c>
      <c r="J278" s="402">
        <v>-44668</v>
      </c>
      <c r="K278" s="400">
        <v>203291.51424977183</v>
      </c>
      <c r="L278" s="400">
        <v>51679.926005912785</v>
      </c>
      <c r="M278" s="15">
        <v>254971.4402556846</v>
      </c>
      <c r="N278" s="397">
        <v>0</v>
      </c>
      <c r="P278" s="713">
        <v>-285957.10133461346</v>
      </c>
      <c r="Q278" s="714"/>
      <c r="R278" s="714"/>
      <c r="S278" s="715"/>
      <c r="T278" s="397">
        <v>429926.31388757925</v>
      </c>
      <c r="U278" s="398">
        <v>65482.365626051062</v>
      </c>
      <c r="V278" s="403">
        <v>209451.57817901685</v>
      </c>
      <c r="W278" s="416">
        <v>13606.861287742095</v>
      </c>
      <c r="X278" s="180"/>
      <c r="Y278" s="180"/>
      <c r="Z278" s="15"/>
    </row>
    <row r="279" spans="1:26" x14ac:dyDescent="0.25">
      <c r="A279" s="111">
        <v>5903</v>
      </c>
      <c r="B279" s="119" t="s">
        <v>366</v>
      </c>
      <c r="C279" s="400">
        <v>-324510.58974614169</v>
      </c>
      <c r="D279" s="400">
        <v>0</v>
      </c>
      <c r="E279" s="401">
        <v>-21715.259641344765</v>
      </c>
      <c r="F279" s="397">
        <v>-346225.84938748647</v>
      </c>
      <c r="G279" s="400">
        <v>-24175</v>
      </c>
      <c r="H279" s="400">
        <v>0</v>
      </c>
      <c r="I279" s="400">
        <v>-28852</v>
      </c>
      <c r="J279" s="402">
        <v>-53027</v>
      </c>
      <c r="K279" s="400">
        <v>116101.02281081778</v>
      </c>
      <c r="L279" s="400">
        <v>29514.720721209786</v>
      </c>
      <c r="M279" s="15">
        <v>145615.74353202758</v>
      </c>
      <c r="N279" s="397">
        <v>-105700</v>
      </c>
      <c r="P279" s="713">
        <v>-359337.10585545888</v>
      </c>
      <c r="Q279" s="714"/>
      <c r="R279" s="714"/>
      <c r="S279" s="715"/>
      <c r="T279" s="397">
        <v>245533.53817958815</v>
      </c>
      <c r="U279" s="398">
        <v>37397.378111491918</v>
      </c>
      <c r="V279" s="403">
        <v>-76406.189564378816</v>
      </c>
      <c r="W279" s="416">
        <v>7770.9614126382621</v>
      </c>
      <c r="X279" s="180"/>
      <c r="Y279" s="180"/>
      <c r="Z279" s="15"/>
    </row>
    <row r="280" spans="1:26" x14ac:dyDescent="0.25">
      <c r="A280" s="111">
        <v>5904</v>
      </c>
      <c r="B280" s="119" t="s">
        <v>367</v>
      </c>
      <c r="C280" s="400">
        <v>-501703.66579992819</v>
      </c>
      <c r="D280" s="400">
        <v>0</v>
      </c>
      <c r="E280" s="401">
        <v>-60936.589204721007</v>
      </c>
      <c r="F280" s="397">
        <v>-562640.25500464917</v>
      </c>
      <c r="G280" s="400">
        <v>0</v>
      </c>
      <c r="H280" s="400">
        <v>0</v>
      </c>
      <c r="I280" s="400">
        <v>0</v>
      </c>
      <c r="J280" s="402">
        <v>0</v>
      </c>
      <c r="K280" s="400">
        <v>257441.39840659592</v>
      </c>
      <c r="L280" s="400">
        <v>65445.685077465176</v>
      </c>
      <c r="M280" s="15">
        <v>322887.08348406112</v>
      </c>
      <c r="N280" s="397">
        <v>0</v>
      </c>
      <c r="P280" s="713">
        <v>-239753.17152058805</v>
      </c>
      <c r="Q280" s="714"/>
      <c r="R280" s="714"/>
      <c r="S280" s="715"/>
      <c r="T280" s="397">
        <v>544443.93248517381</v>
      </c>
      <c r="U280" s="398">
        <v>17231.26226280658</v>
      </c>
      <c r="V280" s="403">
        <v>321922.02322739235</v>
      </c>
      <c r="W280" s="416">
        <v>17231.26226280658</v>
      </c>
      <c r="X280" s="180"/>
      <c r="Y280" s="180"/>
      <c r="Z280" s="15"/>
    </row>
    <row r="281" spans="1:26" x14ac:dyDescent="0.25">
      <c r="A281" s="111">
        <v>5905</v>
      </c>
      <c r="B281" s="119" t="s">
        <v>368</v>
      </c>
      <c r="C281" s="400">
        <v>-716183.17346832971</v>
      </c>
      <c r="D281" s="400">
        <v>0</v>
      </c>
      <c r="E281" s="401">
        <v>-56870.203054636455</v>
      </c>
      <c r="F281" s="397">
        <v>-773053.37652296619</v>
      </c>
      <c r="G281" s="400">
        <v>-34385</v>
      </c>
      <c r="H281" s="400">
        <v>0</v>
      </c>
      <c r="I281" s="400">
        <v>-43342</v>
      </c>
      <c r="J281" s="402">
        <v>-77727</v>
      </c>
      <c r="K281" s="400">
        <v>335453.94337829167</v>
      </c>
      <c r="L281" s="400">
        <v>85277.710858515231</v>
      </c>
      <c r="M281" s="15">
        <v>420731.65423680691</v>
      </c>
      <c r="N281" s="397">
        <v>0</v>
      </c>
      <c r="P281" s="713">
        <v>-430048.72228615929</v>
      </c>
      <c r="Q281" s="714"/>
      <c r="R281" s="714"/>
      <c r="S281" s="715"/>
      <c r="T281" s="397">
        <v>709426.94232916576</v>
      </c>
      <c r="U281" s="398">
        <v>108053.29406917229</v>
      </c>
      <c r="V281" s="403">
        <v>387431.51411217876</v>
      </c>
      <c r="W281" s="416">
        <v>22452.856887899485</v>
      </c>
      <c r="X281" s="180"/>
      <c r="Y281" s="180"/>
      <c r="Z281" s="15"/>
    </row>
    <row r="282" spans="1:26" x14ac:dyDescent="0.25">
      <c r="A282" s="111">
        <v>5907</v>
      </c>
      <c r="B282" s="119" t="s">
        <v>369</v>
      </c>
      <c r="C282" s="400">
        <v>-355796.41515915882</v>
      </c>
      <c r="D282" s="400">
        <v>0</v>
      </c>
      <c r="E282" s="401">
        <v>-2007.4709142541105</v>
      </c>
      <c r="F282" s="397">
        <v>-357803.88607341296</v>
      </c>
      <c r="G282" s="400">
        <v>-15763</v>
      </c>
      <c r="H282" s="400">
        <v>0</v>
      </c>
      <c r="I282" s="400">
        <v>-1422</v>
      </c>
      <c r="J282" s="402">
        <v>-17185</v>
      </c>
      <c r="K282" s="400">
        <v>145470.4515060444</v>
      </c>
      <c r="L282" s="400">
        <v>36980.895132899219</v>
      </c>
      <c r="M282" s="15">
        <v>182451.34663894362</v>
      </c>
      <c r="N282" s="397">
        <v>-27800</v>
      </c>
      <c r="P282" s="713">
        <v>-220337.53943446933</v>
      </c>
      <c r="Q282" s="714"/>
      <c r="R282" s="714"/>
      <c r="S282" s="715"/>
      <c r="T282" s="397">
        <v>307644.78894438519</v>
      </c>
      <c r="U282" s="398">
        <v>46857.584432185526</v>
      </c>
      <c r="V282" s="403">
        <v>134164.8339421014</v>
      </c>
      <c r="W282" s="416">
        <v>9736.7382126732373</v>
      </c>
      <c r="X282" s="180"/>
      <c r="Y282" s="180"/>
      <c r="Z282" s="15"/>
    </row>
    <row r="283" spans="1:26" x14ac:dyDescent="0.25">
      <c r="A283" s="111">
        <v>5908</v>
      </c>
      <c r="B283" s="119" t="s">
        <v>370</v>
      </c>
      <c r="C283" s="400">
        <v>-141837.00206421426</v>
      </c>
      <c r="D283" s="400">
        <v>0</v>
      </c>
      <c r="E283" s="401">
        <v>-27400.252933736501</v>
      </c>
      <c r="F283" s="397">
        <v>-169237.25499795077</v>
      </c>
      <c r="G283" s="400">
        <v>-7303</v>
      </c>
      <c r="H283" s="400">
        <v>0</v>
      </c>
      <c r="I283" s="400">
        <v>-39986</v>
      </c>
      <c r="J283" s="402">
        <v>-47289</v>
      </c>
      <c r="K283" s="400">
        <v>80307.031588510319</v>
      </c>
      <c r="L283" s="400">
        <v>20415.320656963289</v>
      </c>
      <c r="M283" s="15">
        <v>100722.35224547361</v>
      </c>
      <c r="N283" s="397">
        <v>0</v>
      </c>
      <c r="P283" s="713">
        <v>-115803.90275247717</v>
      </c>
      <c r="Q283" s="714"/>
      <c r="R283" s="714"/>
      <c r="S283" s="715"/>
      <c r="T283" s="397">
        <v>169835.4513099918</v>
      </c>
      <c r="U283" s="398">
        <v>25867.751658146582</v>
      </c>
      <c r="V283" s="403">
        <v>79899.300215661206</v>
      </c>
      <c r="W283" s="416">
        <v>5375.1709375956361</v>
      </c>
      <c r="X283" s="180"/>
      <c r="Y283" s="180"/>
      <c r="Z283" s="15"/>
    </row>
    <row r="284" spans="1:26" x14ac:dyDescent="0.25">
      <c r="A284" s="111">
        <v>5909</v>
      </c>
      <c r="B284" s="119" t="s">
        <v>371</v>
      </c>
      <c r="C284" s="400">
        <v>145028.93141033029</v>
      </c>
      <c r="D284" s="400">
        <v>0</v>
      </c>
      <c r="E284" s="401">
        <v>-98488.027588750119</v>
      </c>
      <c r="F284" s="397">
        <v>46540.90382158017</v>
      </c>
      <c r="G284" s="400">
        <v>0</v>
      </c>
      <c r="H284" s="400">
        <v>0</v>
      </c>
      <c r="I284" s="400">
        <v>0</v>
      </c>
      <c r="J284" s="402">
        <v>0</v>
      </c>
      <c r="K284" s="400">
        <v>339125.12196519499</v>
      </c>
      <c r="L284" s="400">
        <v>38475.582659976404</v>
      </c>
      <c r="M284" s="15">
        <v>377600.70462517138</v>
      </c>
      <c r="N284" s="397">
        <v>0</v>
      </c>
      <c r="P284" s="713">
        <v>424141.60844675155</v>
      </c>
      <c r="Q284" s="714"/>
      <c r="R284" s="714"/>
      <c r="S284" s="715"/>
      <c r="T284" s="397">
        <v>717190.84867476544</v>
      </c>
      <c r="U284" s="398">
        <v>22698.578987903857</v>
      </c>
      <c r="V284" s="403">
        <v>1164031.0361094209</v>
      </c>
      <c r="W284" s="416">
        <v>22698.578987903857</v>
      </c>
      <c r="X284" s="180"/>
      <c r="Y284" s="180"/>
      <c r="Z284" s="15"/>
    </row>
    <row r="285" spans="1:26" x14ac:dyDescent="0.25">
      <c r="A285" s="111">
        <v>5910</v>
      </c>
      <c r="B285" s="119" t="s">
        <v>372</v>
      </c>
      <c r="C285" s="400">
        <v>-509463.05911939341</v>
      </c>
      <c r="D285" s="400">
        <v>0</v>
      </c>
      <c r="E285" s="401">
        <v>-55002.256674496013</v>
      </c>
      <c r="F285" s="397">
        <v>-564465.31579388946</v>
      </c>
      <c r="G285" s="400">
        <v>-34422</v>
      </c>
      <c r="H285" s="400">
        <v>0</v>
      </c>
      <c r="I285" s="400">
        <v>-57666</v>
      </c>
      <c r="J285" s="402">
        <v>-92088</v>
      </c>
      <c r="K285" s="400">
        <v>193654.67045915057</v>
      </c>
      <c r="L285" s="400">
        <v>49230.087527077187</v>
      </c>
      <c r="M285" s="15">
        <v>242884.75798622775</v>
      </c>
      <c r="N285" s="397">
        <v>0</v>
      </c>
      <c r="P285" s="713">
        <v>-413668.55780766171</v>
      </c>
      <c r="Q285" s="714"/>
      <c r="R285" s="714"/>
      <c r="S285" s="715"/>
      <c r="T285" s="397">
        <v>409546.05973038025</v>
      </c>
      <c r="U285" s="398">
        <v>62378.235427073465</v>
      </c>
      <c r="V285" s="403">
        <v>58255.737349792005</v>
      </c>
      <c r="W285" s="416">
        <v>12961.840775230619</v>
      </c>
      <c r="X285" s="180"/>
      <c r="Y285" s="180"/>
      <c r="Z285" s="15"/>
    </row>
    <row r="286" spans="1:26" x14ac:dyDescent="0.25">
      <c r="A286" s="111">
        <v>5911</v>
      </c>
      <c r="B286" s="119" t="s">
        <v>373</v>
      </c>
      <c r="C286" s="400">
        <v>-210069.88664449929</v>
      </c>
      <c r="D286" s="400">
        <v>0</v>
      </c>
      <c r="E286" s="401">
        <v>-33455.849656938473</v>
      </c>
      <c r="F286" s="397">
        <v>-243525.73630143778</v>
      </c>
      <c r="G286" s="400">
        <v>-28704</v>
      </c>
      <c r="H286" s="400">
        <v>0</v>
      </c>
      <c r="I286" s="400">
        <v>-6351</v>
      </c>
      <c r="J286" s="402">
        <v>-35055</v>
      </c>
      <c r="K286" s="400">
        <v>111053.15225382568</v>
      </c>
      <c r="L286" s="400">
        <v>28231.471994200663</v>
      </c>
      <c r="M286" s="15">
        <v>139284.62424802635</v>
      </c>
      <c r="N286" s="397">
        <v>0</v>
      </c>
      <c r="P286" s="713">
        <v>-139296.11205341143</v>
      </c>
      <c r="Q286" s="714"/>
      <c r="R286" s="714"/>
      <c r="S286" s="715"/>
      <c r="T286" s="397">
        <v>234858.16695438867</v>
      </c>
      <c r="U286" s="398">
        <v>35771.4051501227</v>
      </c>
      <c r="V286" s="403">
        <v>131333.46005109994</v>
      </c>
      <c r="W286" s="416">
        <v>7433.0935251322508</v>
      </c>
      <c r="X286" s="180"/>
      <c r="Y286" s="180"/>
      <c r="Z286" s="15"/>
    </row>
    <row r="287" spans="1:26" x14ac:dyDescent="0.25">
      <c r="A287" s="111">
        <v>5912</v>
      </c>
      <c r="B287" s="119" t="s">
        <v>374</v>
      </c>
      <c r="C287" s="400">
        <v>-239070.20605964804</v>
      </c>
      <c r="D287" s="400">
        <v>-7108</v>
      </c>
      <c r="E287" s="401">
        <v>-23829.78568227337</v>
      </c>
      <c r="F287" s="397">
        <v>-270007.9917419214</v>
      </c>
      <c r="G287" s="400">
        <v>-32243</v>
      </c>
      <c r="H287" s="400">
        <v>-1199</v>
      </c>
      <c r="I287" s="400">
        <v>-9612</v>
      </c>
      <c r="J287" s="402">
        <v>-43054</v>
      </c>
      <c r="K287" s="400">
        <v>73423.571738066574</v>
      </c>
      <c r="L287" s="400">
        <v>18665.43602922358</v>
      </c>
      <c r="M287" s="15">
        <v>92089.007767290153</v>
      </c>
      <c r="N287" s="397">
        <v>0</v>
      </c>
      <c r="P287" s="713">
        <v>-220972.98397463124</v>
      </c>
      <c r="Q287" s="714"/>
      <c r="R287" s="714"/>
      <c r="S287" s="715"/>
      <c r="T287" s="397">
        <v>155278.1269119925</v>
      </c>
      <c r="U287" s="398">
        <v>23650.515801734018</v>
      </c>
      <c r="V287" s="403">
        <v>-42044.341260904723</v>
      </c>
      <c r="W287" s="416">
        <v>4914.4420000874388</v>
      </c>
      <c r="X287" s="180"/>
      <c r="Y287" s="180"/>
      <c r="Z287" s="15"/>
    </row>
    <row r="288" spans="1:26" x14ac:dyDescent="0.25">
      <c r="A288" s="111">
        <v>5913</v>
      </c>
      <c r="B288" s="119" t="s">
        <v>375</v>
      </c>
      <c r="C288" s="400">
        <v>-1260413.5346219297</v>
      </c>
      <c r="D288" s="400">
        <v>-12639</v>
      </c>
      <c r="E288" s="401">
        <v>-92669.069606307661</v>
      </c>
      <c r="F288" s="397">
        <v>-1365721.6042282374</v>
      </c>
      <c r="G288" s="400">
        <v>-18297</v>
      </c>
      <c r="H288" s="400">
        <v>0</v>
      </c>
      <c r="I288" s="400">
        <v>-115715</v>
      </c>
      <c r="J288" s="402">
        <v>-134012</v>
      </c>
      <c r="K288" s="400">
        <v>421726.64017051982</v>
      </c>
      <c r="L288" s="400">
        <v>107209.59819285294</v>
      </c>
      <c r="M288" s="15">
        <v>528936.23836337274</v>
      </c>
      <c r="N288" s="397">
        <v>0</v>
      </c>
      <c r="P288" s="713">
        <v>-970797.36586486467</v>
      </c>
      <c r="Q288" s="714"/>
      <c r="R288" s="714"/>
      <c r="S288" s="715"/>
      <c r="T288" s="397">
        <v>891878.74145075702</v>
      </c>
      <c r="U288" s="398">
        <v>135842.65013620976</v>
      </c>
      <c r="V288" s="403">
        <v>56924.025722102117</v>
      </c>
      <c r="W288" s="416">
        <v>28227.326238002224</v>
      </c>
      <c r="X288" s="180"/>
      <c r="Y288" s="180"/>
      <c r="Z288" s="15"/>
    </row>
    <row r="289" spans="1:26" x14ac:dyDescent="0.25">
      <c r="A289" s="111">
        <v>5914</v>
      </c>
      <c r="B289" s="119" t="s">
        <v>376</v>
      </c>
      <c r="C289" s="400">
        <v>-406347.46453733521</v>
      </c>
      <c r="D289" s="400">
        <v>0</v>
      </c>
      <c r="E289" s="401">
        <v>-50265.699904512927</v>
      </c>
      <c r="F289" s="397">
        <v>-456613.16444184812</v>
      </c>
      <c r="G289" s="400">
        <v>-17496</v>
      </c>
      <c r="H289" s="400">
        <v>0</v>
      </c>
      <c r="I289" s="400">
        <v>-19215</v>
      </c>
      <c r="J289" s="402">
        <v>-36711</v>
      </c>
      <c r="K289" s="400">
        <v>178052.16146481145</v>
      </c>
      <c r="L289" s="400">
        <v>45263.68237086718</v>
      </c>
      <c r="M289" s="15">
        <v>223315.84383567862</v>
      </c>
      <c r="N289" s="397">
        <v>0</v>
      </c>
      <c r="P289" s="713">
        <v>-270008.32060616952</v>
      </c>
      <c r="Q289" s="714"/>
      <c r="R289" s="714"/>
      <c r="S289" s="715"/>
      <c r="T289" s="397">
        <v>376549.45776158187</v>
      </c>
      <c r="U289" s="398">
        <v>11917.521850212039</v>
      </c>
      <c r="V289" s="403">
        <v>118458.65900562439</v>
      </c>
      <c r="W289" s="416">
        <v>11917.521850212039</v>
      </c>
      <c r="X289" s="180"/>
      <c r="Y289" s="180"/>
      <c r="Z289" s="15"/>
    </row>
    <row r="290" spans="1:26" x14ac:dyDescent="0.25">
      <c r="A290" s="111">
        <v>5919</v>
      </c>
      <c r="B290" s="119" t="s">
        <v>377</v>
      </c>
      <c r="C290" s="400">
        <v>-757714.32653088402</v>
      </c>
      <c r="D290" s="400">
        <v>0</v>
      </c>
      <c r="E290" s="401">
        <v>-60810.01808582386</v>
      </c>
      <c r="F290" s="397">
        <v>-818524.34461670788</v>
      </c>
      <c r="G290" s="400">
        <v>-9766</v>
      </c>
      <c r="H290" s="400">
        <v>0</v>
      </c>
      <c r="I290" s="400">
        <v>0</v>
      </c>
      <c r="J290" s="402">
        <v>-9766</v>
      </c>
      <c r="K290" s="400">
        <v>325358.20226430753</v>
      </c>
      <c r="L290" s="400">
        <v>82711.213404496986</v>
      </c>
      <c r="M290" s="15">
        <v>408069.41566880455</v>
      </c>
      <c r="N290" s="397">
        <v>0</v>
      </c>
      <c r="P290" s="713">
        <v>-420220.92894790333</v>
      </c>
      <c r="Q290" s="714"/>
      <c r="R290" s="714"/>
      <c r="S290" s="715"/>
      <c r="T290" s="397">
        <v>688076.19987876678</v>
      </c>
      <c r="U290" s="398">
        <v>21777.12111288746</v>
      </c>
      <c r="V290" s="403">
        <v>289632.39204375091</v>
      </c>
      <c r="W290" s="416">
        <v>21777.12111288746</v>
      </c>
      <c r="X290" s="180"/>
      <c r="Y290" s="180"/>
      <c r="Z290" s="15"/>
    </row>
    <row r="291" spans="1:26" x14ac:dyDescent="0.25">
      <c r="A291" s="111">
        <v>5921</v>
      </c>
      <c r="B291" s="119" t="s">
        <v>378</v>
      </c>
      <c r="C291" s="400">
        <v>-441276.46603768162</v>
      </c>
      <c r="D291" s="400">
        <v>-17506</v>
      </c>
      <c r="E291" s="401">
        <v>-49016.477327506815</v>
      </c>
      <c r="F291" s="397">
        <v>-507798.94336518843</v>
      </c>
      <c r="G291" s="400">
        <v>-35144</v>
      </c>
      <c r="H291" s="400">
        <v>0</v>
      </c>
      <c r="I291" s="400">
        <v>-44926</v>
      </c>
      <c r="J291" s="402">
        <v>-80070</v>
      </c>
      <c r="K291" s="400">
        <v>129409.04518834232</v>
      </c>
      <c r="L291" s="400">
        <v>32897.831001506558</v>
      </c>
      <c r="M291" s="15">
        <v>162306.87618984887</v>
      </c>
      <c r="N291" s="397">
        <v>0</v>
      </c>
      <c r="P291" s="713">
        <v>-425562.06717533956</v>
      </c>
      <c r="Q291" s="714"/>
      <c r="R291" s="714"/>
      <c r="S291" s="715"/>
      <c r="T291" s="397">
        <v>273677.69868238678</v>
      </c>
      <c r="U291" s="398">
        <v>41684.034100556208</v>
      </c>
      <c r="V291" s="403">
        <v>-110200.33439239657</v>
      </c>
      <c r="W291" s="416">
        <v>8661.7040251541112</v>
      </c>
      <c r="X291" s="180"/>
      <c r="Y291" s="180"/>
      <c r="Z291" s="15"/>
    </row>
    <row r="292" spans="1:26" x14ac:dyDescent="0.25">
      <c r="A292" s="111">
        <v>5922</v>
      </c>
      <c r="B292" s="119" t="s">
        <v>379</v>
      </c>
      <c r="C292" s="400">
        <v>97251.608457408773</v>
      </c>
      <c r="D292" s="400">
        <v>0</v>
      </c>
      <c r="E292" s="401">
        <v>23570.793374209927</v>
      </c>
      <c r="F292" s="397">
        <v>120822.4018316187</v>
      </c>
      <c r="G292" s="400">
        <v>0</v>
      </c>
      <c r="H292" s="400">
        <v>0</v>
      </c>
      <c r="I292" s="400">
        <v>0</v>
      </c>
      <c r="J292" s="402">
        <v>0</v>
      </c>
      <c r="K292" s="400">
        <v>356563.22025298583</v>
      </c>
      <c r="L292" s="400">
        <v>-44336.176283082983</v>
      </c>
      <c r="M292" s="15">
        <v>312227.04396990285</v>
      </c>
      <c r="N292" s="397">
        <v>0</v>
      </c>
      <c r="P292" s="713">
        <v>433049.44580152154</v>
      </c>
      <c r="Q292" s="714"/>
      <c r="R292" s="714"/>
      <c r="S292" s="715"/>
      <c r="T292" s="397">
        <v>754069.40381636366</v>
      </c>
      <c r="U292" s="398">
        <v>114852.81736217081</v>
      </c>
      <c r="V292" s="403">
        <v>1301971.6669800561</v>
      </c>
      <c r="W292" s="416">
        <v>23865.758962924625</v>
      </c>
      <c r="X292" s="180"/>
      <c r="Y292" s="180"/>
      <c r="Z292" s="15"/>
    </row>
    <row r="293" spans="1:26" x14ac:dyDescent="0.25">
      <c r="A293" s="111">
        <v>5923</v>
      </c>
      <c r="B293" s="119" t="s">
        <v>380</v>
      </c>
      <c r="C293" s="400">
        <v>-195454.1104171623</v>
      </c>
      <c r="D293" s="400">
        <v>0</v>
      </c>
      <c r="E293" s="401">
        <v>-28579.896986370131</v>
      </c>
      <c r="F293" s="397">
        <v>-224034.00740353242</v>
      </c>
      <c r="G293" s="400">
        <v>-21201</v>
      </c>
      <c r="H293" s="400">
        <v>0</v>
      </c>
      <c r="I293" s="400">
        <v>-14306</v>
      </c>
      <c r="J293" s="402">
        <v>-35507</v>
      </c>
      <c r="K293" s="400">
        <v>92697.259319309043</v>
      </c>
      <c r="L293" s="400">
        <v>23565.112986894768</v>
      </c>
      <c r="M293" s="15">
        <v>116262.37230620382</v>
      </c>
      <c r="N293" s="397">
        <v>-14600</v>
      </c>
      <c r="P293" s="713">
        <v>-157878.6350973286</v>
      </c>
      <c r="Q293" s="714"/>
      <c r="R293" s="714"/>
      <c r="S293" s="715"/>
      <c r="T293" s="397">
        <v>196038.63522639056</v>
      </c>
      <c r="U293" s="398">
        <v>29858.776199689193</v>
      </c>
      <c r="V293" s="403">
        <v>68018.776328751148</v>
      </c>
      <c r="W293" s="416">
        <v>6204.4830251103913</v>
      </c>
      <c r="X293" s="180"/>
      <c r="Y293" s="180"/>
      <c r="Z293" s="15"/>
    </row>
    <row r="294" spans="1:26" x14ac:dyDescent="0.25">
      <c r="A294" s="111">
        <v>5924</v>
      </c>
      <c r="B294" s="119" t="s">
        <v>381</v>
      </c>
      <c r="C294" s="400">
        <v>-421350.52670359128</v>
      </c>
      <c r="D294" s="400">
        <v>0</v>
      </c>
      <c r="E294" s="401">
        <v>-52821.245773910763</v>
      </c>
      <c r="F294" s="397">
        <v>-474171.77247750206</v>
      </c>
      <c r="G294" s="400">
        <v>-8364</v>
      </c>
      <c r="H294" s="400">
        <v>0</v>
      </c>
      <c r="I294" s="400">
        <v>-41820</v>
      </c>
      <c r="J294" s="402">
        <v>-50184</v>
      </c>
      <c r="K294" s="400">
        <v>190901.28651897309</v>
      </c>
      <c r="L294" s="400">
        <v>48530.133675981306</v>
      </c>
      <c r="M294" s="15">
        <v>239431.42019495441</v>
      </c>
      <c r="N294" s="397">
        <v>0</v>
      </c>
      <c r="P294" s="713">
        <v>-284924.35228254762</v>
      </c>
      <c r="Q294" s="714"/>
      <c r="R294" s="714"/>
      <c r="S294" s="715"/>
      <c r="T294" s="397">
        <v>403723.12997118052</v>
      </c>
      <c r="U294" s="398">
        <v>61491.341084508444</v>
      </c>
      <c r="V294" s="403">
        <v>180290.11877314135</v>
      </c>
      <c r="W294" s="416">
        <v>12777.54920022734</v>
      </c>
      <c r="X294" s="180"/>
      <c r="Y294" s="180"/>
      <c r="Z294" s="15"/>
    </row>
    <row r="295" spans="1:26" x14ac:dyDescent="0.25">
      <c r="A295" s="111">
        <v>5925</v>
      </c>
      <c r="B295" s="119" t="s">
        <v>382</v>
      </c>
      <c r="C295" s="400">
        <v>-242504.30734370812</v>
      </c>
      <c r="D295" s="400">
        <v>0</v>
      </c>
      <c r="E295" s="401">
        <v>12744.141212459363</v>
      </c>
      <c r="F295" s="397">
        <v>-229760.16613124876</v>
      </c>
      <c r="G295" s="400">
        <v>-26787</v>
      </c>
      <c r="H295" s="400">
        <v>0</v>
      </c>
      <c r="I295" s="400">
        <v>0</v>
      </c>
      <c r="J295" s="402">
        <v>-26787</v>
      </c>
      <c r="K295" s="400">
        <v>98204.027199664037</v>
      </c>
      <c r="L295" s="400">
        <v>24965.020689086537</v>
      </c>
      <c r="M295" s="15">
        <v>123169.04788875057</v>
      </c>
      <c r="N295" s="397">
        <v>0</v>
      </c>
      <c r="P295" s="713">
        <v>-133378.1182424982</v>
      </c>
      <c r="Q295" s="714"/>
      <c r="R295" s="714"/>
      <c r="S295" s="715"/>
      <c r="T295" s="397">
        <v>207684.49474478999</v>
      </c>
      <c r="U295" s="398">
        <v>31632.56488481925</v>
      </c>
      <c r="V295" s="403">
        <v>105938.94138711104</v>
      </c>
      <c r="W295" s="416">
        <v>6573.0661751169491</v>
      </c>
      <c r="X295" s="180"/>
      <c r="Y295" s="180"/>
      <c r="Z295" s="15"/>
    </row>
    <row r="296" spans="1:26" x14ac:dyDescent="0.25">
      <c r="A296" s="111">
        <v>5926</v>
      </c>
      <c r="B296" s="119" t="s">
        <v>383</v>
      </c>
      <c r="C296" s="400">
        <v>-822964.69293047453</v>
      </c>
      <c r="D296" s="400">
        <v>0</v>
      </c>
      <c r="E296" s="401">
        <v>-106322.95466868249</v>
      </c>
      <c r="F296" s="397">
        <v>-929287.64759915706</v>
      </c>
      <c r="G296" s="400">
        <v>0</v>
      </c>
      <c r="H296" s="400">
        <v>0</v>
      </c>
      <c r="I296" s="400">
        <v>-69054</v>
      </c>
      <c r="J296" s="402">
        <v>-69054</v>
      </c>
      <c r="K296" s="400">
        <v>401535.1579425516</v>
      </c>
      <c r="L296" s="400">
        <v>102076.60328481645</v>
      </c>
      <c r="M296" s="15">
        <v>503611.76122736803</v>
      </c>
      <c r="N296" s="397">
        <v>0</v>
      </c>
      <c r="P296" s="713">
        <v>-494729.88637178903</v>
      </c>
      <c r="Q296" s="714"/>
      <c r="R296" s="714"/>
      <c r="S296" s="715"/>
      <c r="T296" s="397">
        <v>849177.25654995907</v>
      </c>
      <c r="U296" s="398">
        <v>26875.854687978179</v>
      </c>
      <c r="V296" s="403">
        <v>381323.2248661482</v>
      </c>
      <c r="W296" s="416">
        <v>26875.854687978179</v>
      </c>
      <c r="X296" s="180"/>
      <c r="Y296" s="180"/>
      <c r="Z296" s="15"/>
    </row>
    <row r="297" spans="1:26" x14ac:dyDescent="0.25">
      <c r="A297" s="111">
        <v>5928</v>
      </c>
      <c r="B297" s="119" t="s">
        <v>384</v>
      </c>
      <c r="C297" s="400">
        <v>-226793.25291064571</v>
      </c>
      <c r="D297" s="400">
        <v>0</v>
      </c>
      <c r="E297" s="401">
        <v>-26686.191536077502</v>
      </c>
      <c r="F297" s="397">
        <v>-253479.44444672321</v>
      </c>
      <c r="G297" s="400">
        <v>-17627</v>
      </c>
      <c r="H297" s="400">
        <v>0</v>
      </c>
      <c r="I297" s="400">
        <v>-74902</v>
      </c>
      <c r="J297" s="402">
        <v>-92529</v>
      </c>
      <c r="K297" s="400">
        <v>91320.567349220306</v>
      </c>
      <c r="L297" s="400">
        <v>23215.136061346828</v>
      </c>
      <c r="M297" s="15">
        <v>114535.70341056713</v>
      </c>
      <c r="N297" s="397">
        <v>0</v>
      </c>
      <c r="P297" s="713">
        <v>-231472.74103615608</v>
      </c>
      <c r="Q297" s="714"/>
      <c r="R297" s="714"/>
      <c r="S297" s="715"/>
      <c r="T297" s="397">
        <v>193127.17034679069</v>
      </c>
      <c r="U297" s="398">
        <v>29415.329028406686</v>
      </c>
      <c r="V297" s="403">
        <v>-8930.241660958698</v>
      </c>
      <c r="W297" s="416">
        <v>6112.3372376087518</v>
      </c>
      <c r="X297" s="180"/>
      <c r="Y297" s="180"/>
      <c r="Z297" s="15"/>
    </row>
    <row r="298" spans="1:26" x14ac:dyDescent="0.25">
      <c r="A298" s="111">
        <v>5929</v>
      </c>
      <c r="B298" s="119" t="s">
        <v>385</v>
      </c>
      <c r="C298" s="400">
        <v>-544412.48953103693</v>
      </c>
      <c r="D298" s="400">
        <v>0</v>
      </c>
      <c r="E298" s="401">
        <v>-19013.703148198678</v>
      </c>
      <c r="F298" s="397">
        <v>-563426.1926792356</v>
      </c>
      <c r="G298" s="400">
        <v>-15238</v>
      </c>
      <c r="H298" s="400">
        <v>0</v>
      </c>
      <c r="I298" s="400">
        <v>-130786</v>
      </c>
      <c r="J298" s="402">
        <v>-146024</v>
      </c>
      <c r="K298" s="400">
        <v>305166.72003633913</v>
      </c>
      <c r="L298" s="400">
        <v>77578.218496460497</v>
      </c>
      <c r="M298" s="15">
        <v>382744.9385327996</v>
      </c>
      <c r="N298" s="397">
        <v>0</v>
      </c>
      <c r="P298" s="713">
        <v>-326705.254146436</v>
      </c>
      <c r="Q298" s="714"/>
      <c r="R298" s="714"/>
      <c r="S298" s="715"/>
      <c r="T298" s="397">
        <v>645374.71497796883</v>
      </c>
      <c r="U298" s="398">
        <v>20425.649562863415</v>
      </c>
      <c r="V298" s="403">
        <v>339095.11039439624</v>
      </c>
      <c r="W298" s="416">
        <v>20425.649562863415</v>
      </c>
      <c r="X298" s="180"/>
      <c r="Y298" s="180"/>
      <c r="Z298" s="15"/>
    </row>
    <row r="299" spans="1:26" x14ac:dyDescent="0.25">
      <c r="A299" s="111">
        <v>5930</v>
      </c>
      <c r="B299" s="119" t="s">
        <v>386</v>
      </c>
      <c r="C299" s="400">
        <v>-245101.83605707614</v>
      </c>
      <c r="D299" s="400">
        <v>0</v>
      </c>
      <c r="E299" s="401">
        <v>-3691.0042378332582</v>
      </c>
      <c r="F299" s="397">
        <v>-248792.8402949094</v>
      </c>
      <c r="G299" s="400">
        <v>-24200</v>
      </c>
      <c r="H299" s="400">
        <v>0</v>
      </c>
      <c r="I299" s="400">
        <v>-15572</v>
      </c>
      <c r="J299" s="402">
        <v>-39772</v>
      </c>
      <c r="K299" s="400">
        <v>99580.719169752789</v>
      </c>
      <c r="L299" s="400">
        <v>25314.997614634478</v>
      </c>
      <c r="M299" s="15">
        <v>124895.71678438727</v>
      </c>
      <c r="N299" s="397">
        <v>0</v>
      </c>
      <c r="P299" s="713">
        <v>-163669.12351052216</v>
      </c>
      <c r="Q299" s="714"/>
      <c r="R299" s="714"/>
      <c r="S299" s="715"/>
      <c r="T299" s="397">
        <v>210595.95962438986</v>
      </c>
      <c r="U299" s="398">
        <v>6665.2119626185886</v>
      </c>
      <c r="V299" s="403">
        <v>53592.048076486288</v>
      </c>
      <c r="W299" s="416">
        <v>6665.2119626185886</v>
      </c>
      <c r="X299" s="180"/>
      <c r="Y299" s="180"/>
      <c r="Z299" s="15"/>
    </row>
    <row r="300" spans="1:26" x14ac:dyDescent="0.25">
      <c r="A300" s="111">
        <v>5931</v>
      </c>
      <c r="B300" s="119" t="s">
        <v>387</v>
      </c>
      <c r="C300" s="400">
        <v>-493301.51675666502</v>
      </c>
      <c r="D300" s="400">
        <v>0</v>
      </c>
      <c r="E300" s="401">
        <v>-26864.323350916849</v>
      </c>
      <c r="F300" s="397">
        <v>-520165.84010758187</v>
      </c>
      <c r="G300" s="400">
        <v>0</v>
      </c>
      <c r="H300" s="400">
        <v>0</v>
      </c>
      <c r="I300" s="400">
        <v>0</v>
      </c>
      <c r="J300" s="402">
        <v>0</v>
      </c>
      <c r="K300" s="400">
        <v>239544.40279544215</v>
      </c>
      <c r="L300" s="400">
        <v>60895.985045341928</v>
      </c>
      <c r="M300" s="15">
        <v>300440.3878407841</v>
      </c>
      <c r="N300" s="397">
        <v>0</v>
      </c>
      <c r="P300" s="713">
        <v>-219725.45226679777</v>
      </c>
      <c r="Q300" s="714"/>
      <c r="R300" s="714"/>
      <c r="S300" s="715"/>
      <c r="T300" s="397">
        <v>506594.88905037555</v>
      </c>
      <c r="U300" s="398">
        <v>16033.367025285268</v>
      </c>
      <c r="V300" s="403">
        <v>302902.80380886304</v>
      </c>
      <c r="W300" s="416">
        <v>16033.367025285268</v>
      </c>
      <c r="X300" s="180"/>
      <c r="Y300" s="180"/>
      <c r="Z300" s="15"/>
    </row>
    <row r="301" spans="1:26" x14ac:dyDescent="0.25">
      <c r="A301" s="111">
        <v>5932</v>
      </c>
      <c r="B301" s="119" t="s">
        <v>102</v>
      </c>
      <c r="C301" s="400">
        <v>-144821.91518821681</v>
      </c>
      <c r="D301" s="400">
        <v>0</v>
      </c>
      <c r="E301" s="401">
        <v>-28080.720122824801</v>
      </c>
      <c r="F301" s="397">
        <v>-172902.63531104161</v>
      </c>
      <c r="G301" s="400">
        <v>-16516</v>
      </c>
      <c r="H301" s="400">
        <v>0</v>
      </c>
      <c r="I301" s="400">
        <v>-9939</v>
      </c>
      <c r="J301" s="402">
        <v>-26455</v>
      </c>
      <c r="K301" s="400">
        <v>107381.97366692236</v>
      </c>
      <c r="L301" s="400">
        <v>27298.200192739485</v>
      </c>
      <c r="M301" s="15">
        <v>134680.17385966185</v>
      </c>
      <c r="N301" s="397">
        <v>0</v>
      </c>
      <c r="P301" s="713">
        <v>-64677.461451379757</v>
      </c>
      <c r="Q301" s="714"/>
      <c r="R301" s="714"/>
      <c r="S301" s="715"/>
      <c r="T301" s="397">
        <v>227094.26060878905</v>
      </c>
      <c r="U301" s="398">
        <v>34588.879360036</v>
      </c>
      <c r="V301" s="403">
        <v>197005.67851744528</v>
      </c>
      <c r="W301" s="416">
        <v>7187.3714251278789</v>
      </c>
      <c r="X301" s="180"/>
      <c r="Y301" s="180"/>
      <c r="Z301" s="15"/>
    </row>
    <row r="302" spans="1:26" x14ac:dyDescent="0.25">
      <c r="A302" s="111">
        <v>5933</v>
      </c>
      <c r="B302" s="119" t="s">
        <v>388</v>
      </c>
      <c r="C302" s="400">
        <v>-615051.11899532215</v>
      </c>
      <c r="D302" s="400">
        <v>0</v>
      </c>
      <c r="E302" s="401">
        <v>-58273.802185238615</v>
      </c>
      <c r="F302" s="397">
        <v>-673324.92118056072</v>
      </c>
      <c r="G302" s="400">
        <v>0</v>
      </c>
      <c r="H302" s="400">
        <v>0</v>
      </c>
      <c r="I302" s="400">
        <v>0</v>
      </c>
      <c r="J302" s="402">
        <v>0</v>
      </c>
      <c r="K302" s="400">
        <v>322604.81832412997</v>
      </c>
      <c r="L302" s="400">
        <v>82011.259553401105</v>
      </c>
      <c r="M302" s="15">
        <v>404616.07787753106</v>
      </c>
      <c r="N302" s="397">
        <v>-102900</v>
      </c>
      <c r="P302" s="713">
        <v>-371608.84330302966</v>
      </c>
      <c r="Q302" s="714"/>
      <c r="R302" s="714"/>
      <c r="S302" s="715"/>
      <c r="T302" s="397">
        <v>682253.27011956705</v>
      </c>
      <c r="U302" s="398">
        <v>103914.45380386885</v>
      </c>
      <c r="V302" s="403">
        <v>414558.88062040624</v>
      </c>
      <c r="W302" s="416">
        <v>21592.829537884183</v>
      </c>
      <c r="X302" s="180"/>
      <c r="Y302" s="180"/>
      <c r="Z302" s="15"/>
    </row>
    <row r="303" spans="1:26" x14ac:dyDescent="0.25">
      <c r="A303" s="111">
        <v>5934</v>
      </c>
      <c r="B303" s="119" t="s">
        <v>389</v>
      </c>
      <c r="C303" s="400">
        <v>-216514.16008088007</v>
      </c>
      <c r="D303" s="400">
        <v>0</v>
      </c>
      <c r="E303" s="401">
        <v>-24478.220573117429</v>
      </c>
      <c r="F303" s="397">
        <v>-240992.3806539975</v>
      </c>
      <c r="G303" s="400">
        <v>-10636</v>
      </c>
      <c r="H303" s="400">
        <v>0</v>
      </c>
      <c r="I303" s="400">
        <v>0</v>
      </c>
      <c r="J303" s="402">
        <v>-10636</v>
      </c>
      <c r="K303" s="400">
        <v>108758.6656370111</v>
      </c>
      <c r="L303" s="400">
        <v>27648.177118287425</v>
      </c>
      <c r="M303" s="15">
        <v>136406.84275529854</v>
      </c>
      <c r="N303" s="397">
        <v>0</v>
      </c>
      <c r="P303" s="713">
        <v>-115221.53789869897</v>
      </c>
      <c r="Q303" s="714"/>
      <c r="R303" s="714"/>
      <c r="S303" s="715"/>
      <c r="T303" s="397">
        <v>230005.72548838891</v>
      </c>
      <c r="U303" s="398">
        <v>35032.326531318511</v>
      </c>
      <c r="V303" s="403">
        <v>149816.51412100845</v>
      </c>
      <c r="W303" s="416">
        <v>7279.5172126295183</v>
      </c>
      <c r="X303" s="180"/>
      <c r="Y303" s="180"/>
      <c r="Z303" s="15"/>
    </row>
    <row r="304" spans="1:26" x14ac:dyDescent="0.25">
      <c r="A304" s="111">
        <v>5935</v>
      </c>
      <c r="B304" s="119" t="s">
        <v>390</v>
      </c>
      <c r="C304" s="400">
        <v>-44524.317986705828</v>
      </c>
      <c r="D304" s="400">
        <v>0</v>
      </c>
      <c r="E304" s="401">
        <v>2371.0615068149345</v>
      </c>
      <c r="F304" s="397">
        <v>-42153.256479890893</v>
      </c>
      <c r="G304" s="400">
        <v>-933</v>
      </c>
      <c r="H304" s="400">
        <v>0</v>
      </c>
      <c r="I304" s="400">
        <v>-4178</v>
      </c>
      <c r="J304" s="402">
        <v>-5111</v>
      </c>
      <c r="K304" s="400">
        <v>46348.629659654522</v>
      </c>
      <c r="L304" s="400">
        <v>11782.556493447384</v>
      </c>
      <c r="M304" s="15">
        <v>58131.186153101909</v>
      </c>
      <c r="N304" s="397">
        <v>0</v>
      </c>
      <c r="P304" s="713">
        <v>10866.929673211016</v>
      </c>
      <c r="Q304" s="714"/>
      <c r="R304" s="714"/>
      <c r="S304" s="715"/>
      <c r="T304" s="397">
        <v>98019.317613195279</v>
      </c>
      <c r="U304" s="398">
        <v>14929.388099844597</v>
      </c>
      <c r="V304" s="403">
        <v>123815.63538625088</v>
      </c>
      <c r="W304" s="416">
        <v>3102.2415125551956</v>
      </c>
      <c r="X304" s="180"/>
      <c r="Y304" s="180"/>
      <c r="Z304" s="15"/>
    </row>
    <row r="305" spans="1:26" x14ac:dyDescent="0.25">
      <c r="A305" s="111">
        <v>5937</v>
      </c>
      <c r="B305" s="119" t="s">
        <v>391</v>
      </c>
      <c r="C305" s="400">
        <v>-191685.88977786645</v>
      </c>
      <c r="D305" s="400">
        <v>0</v>
      </c>
      <c r="E305" s="401">
        <v>-23033.954331395493</v>
      </c>
      <c r="F305" s="397">
        <v>-214719.84410926193</v>
      </c>
      <c r="G305" s="400">
        <v>-19607</v>
      </c>
      <c r="H305" s="400">
        <v>0</v>
      </c>
      <c r="I305" s="400">
        <v>-184</v>
      </c>
      <c r="J305" s="402">
        <v>-19791</v>
      </c>
      <c r="K305" s="400">
        <v>69293.495827800332</v>
      </c>
      <c r="L305" s="400">
        <v>17615.505252579751</v>
      </c>
      <c r="M305" s="15">
        <v>86909.001080380083</v>
      </c>
      <c r="N305" s="397">
        <v>0</v>
      </c>
      <c r="P305" s="713">
        <v>-147601.84302888185</v>
      </c>
      <c r="Q305" s="714"/>
      <c r="R305" s="714"/>
      <c r="S305" s="715"/>
      <c r="T305" s="397">
        <v>146543.73227319293</v>
      </c>
      <c r="U305" s="398">
        <v>22320.174287886479</v>
      </c>
      <c r="V305" s="403">
        <v>21262.063532197561</v>
      </c>
      <c r="W305" s="416">
        <v>4638.0046375825204</v>
      </c>
      <c r="X305" s="180"/>
      <c r="Y305" s="180"/>
      <c r="Z305" s="15"/>
    </row>
    <row r="306" spans="1:26" x14ac:dyDescent="0.25">
      <c r="A306" s="111">
        <v>5938</v>
      </c>
      <c r="B306" s="119" t="s">
        <v>103</v>
      </c>
      <c r="C306" s="400">
        <v>-36121059.575786784</v>
      </c>
      <c r="D306" s="400">
        <v>0</v>
      </c>
      <c r="E306" s="401">
        <v>-503653.27943114657</v>
      </c>
      <c r="F306" s="397">
        <v>-36624712.855217934</v>
      </c>
      <c r="G306" s="400">
        <v>0</v>
      </c>
      <c r="H306" s="400">
        <v>0</v>
      </c>
      <c r="I306" s="400">
        <v>0</v>
      </c>
      <c r="J306" s="402">
        <v>0</v>
      </c>
      <c r="K306" s="400">
        <v>-9147213.1004416049</v>
      </c>
      <c r="L306" s="400">
        <v>680122.88899478596</v>
      </c>
      <c r="M306" s="15">
        <v>-8467090.211446818</v>
      </c>
      <c r="N306" s="397">
        <v>0</v>
      </c>
      <c r="P306" s="713">
        <v>-45091803.066664755</v>
      </c>
      <c r="Q306" s="714"/>
      <c r="R306" s="714"/>
      <c r="S306" s="715"/>
      <c r="T306" s="397">
        <v>29329126.708795786</v>
      </c>
      <c r="U306" s="398">
        <v>928245.94802901545</v>
      </c>
      <c r="V306" s="403">
        <v>-14834430.409839954</v>
      </c>
      <c r="W306" s="416">
        <v>928245.94802901545</v>
      </c>
      <c r="X306" s="180"/>
      <c r="Y306" s="180"/>
      <c r="Z306" s="15"/>
    </row>
    <row r="307" spans="1:26" x14ac:dyDescent="0.25">
      <c r="A307" s="113">
        <v>5939</v>
      </c>
      <c r="B307" s="120" t="s">
        <v>392</v>
      </c>
      <c r="C307" s="404">
        <v>-4074706.2574521448</v>
      </c>
      <c r="D307" s="404">
        <v>0</v>
      </c>
      <c r="E307" s="405">
        <v>-392650.97907824151</v>
      </c>
      <c r="F307" s="397">
        <v>-4467357.2365303859</v>
      </c>
      <c r="G307" s="404">
        <v>0</v>
      </c>
      <c r="H307" s="404">
        <v>0</v>
      </c>
      <c r="I307" s="404">
        <v>0</v>
      </c>
      <c r="J307" s="406">
        <v>0</v>
      </c>
      <c r="K307" s="404">
        <v>859919.09564865963</v>
      </c>
      <c r="L307" s="404">
        <v>412506.1362458411</v>
      </c>
      <c r="M307" s="407">
        <v>1272425.2318945008</v>
      </c>
      <c r="N307" s="397">
        <v>0</v>
      </c>
      <c r="P307" s="713">
        <v>-3194932.0046358854</v>
      </c>
      <c r="Q307" s="714"/>
      <c r="R307" s="714"/>
      <c r="S307" s="715"/>
      <c r="T307" s="408">
        <v>3431646.6047550347</v>
      </c>
      <c r="U307" s="398">
        <v>592893.304174077</v>
      </c>
      <c r="V307" s="409">
        <v>829607.90429322631</v>
      </c>
      <c r="W307" s="417">
        <v>108609.16820193239</v>
      </c>
      <c r="X307" s="180"/>
      <c r="Y307" s="180"/>
      <c r="Z307" s="15"/>
    </row>
    <row r="308" spans="1:26" x14ac:dyDescent="0.25">
      <c r="A308" s="2"/>
      <c r="C308" s="408">
        <v>-2.3911707103252411E-6</v>
      </c>
      <c r="D308" s="408">
        <v>-1295905</v>
      </c>
      <c r="E308" s="406">
        <v>450000.00000000198</v>
      </c>
      <c r="F308" s="410">
        <v>-845905.00000229478</v>
      </c>
      <c r="G308" s="410">
        <v>-8074108</v>
      </c>
      <c r="H308" s="410">
        <v>-14852671</v>
      </c>
      <c r="I308" s="410">
        <v>-5737070</v>
      </c>
      <c r="J308" s="411">
        <v>-28663849</v>
      </c>
      <c r="K308" s="410">
        <v>-2.8638169169425964E-8</v>
      </c>
      <c r="L308" s="410">
        <v>3.6670826375484467E-9</v>
      </c>
      <c r="M308" s="412">
        <v>-3.9814040064811707E-8</v>
      </c>
      <c r="N308" s="410">
        <v>-10113300</v>
      </c>
      <c r="P308" s="716">
        <v>-39623054.000002459</v>
      </c>
      <c r="Q308" s="717"/>
      <c r="R308" s="717"/>
      <c r="S308" s="718"/>
      <c r="T308" s="408">
        <v>821327154.00000036</v>
      </c>
      <c r="U308" s="413">
        <v>74269767.99999994</v>
      </c>
      <c r="V308" s="414">
        <v>855973867.99999785</v>
      </c>
      <c r="W308" s="418">
        <f>SUM(W8:W307)</f>
        <v>25994418.799999975</v>
      </c>
    </row>
    <row r="309" spans="1:26" x14ac:dyDescent="0.25">
      <c r="J309" s="1">
        <v>201</v>
      </c>
      <c r="N309" s="15"/>
      <c r="V309" s="15"/>
    </row>
  </sheetData>
  <mergeCells count="315">
    <mergeCell ref="P308:S308"/>
    <mergeCell ref="P302:S302"/>
    <mergeCell ref="P303:S303"/>
    <mergeCell ref="P304:S304"/>
    <mergeCell ref="P305:S305"/>
    <mergeCell ref="P306:S306"/>
    <mergeCell ref="P307:S307"/>
    <mergeCell ref="P296:S296"/>
    <mergeCell ref="P297:S297"/>
    <mergeCell ref="P298:S298"/>
    <mergeCell ref="P299:S299"/>
    <mergeCell ref="P300:S300"/>
    <mergeCell ref="P301:S301"/>
    <mergeCell ref="P290:S290"/>
    <mergeCell ref="P291:S291"/>
    <mergeCell ref="P292:S292"/>
    <mergeCell ref="P293:S293"/>
    <mergeCell ref="P294:S294"/>
    <mergeCell ref="P295:S295"/>
    <mergeCell ref="P284:S284"/>
    <mergeCell ref="P285:S285"/>
    <mergeCell ref="P286:S286"/>
    <mergeCell ref="P287:S287"/>
    <mergeCell ref="P288:S288"/>
    <mergeCell ref="P289:S289"/>
    <mergeCell ref="P278:S278"/>
    <mergeCell ref="P279:S279"/>
    <mergeCell ref="P280:S280"/>
    <mergeCell ref="P281:S281"/>
    <mergeCell ref="P282:S282"/>
    <mergeCell ref="P283:S283"/>
    <mergeCell ref="P272:S272"/>
    <mergeCell ref="P273:S273"/>
    <mergeCell ref="P274:S274"/>
    <mergeCell ref="P275:S275"/>
    <mergeCell ref="P276:S276"/>
    <mergeCell ref="P277:S277"/>
    <mergeCell ref="P266:S266"/>
    <mergeCell ref="P267:S267"/>
    <mergeCell ref="P268:S268"/>
    <mergeCell ref="P269:S269"/>
    <mergeCell ref="P270:S270"/>
    <mergeCell ref="P271:S271"/>
    <mergeCell ref="P260:S260"/>
    <mergeCell ref="P261:S261"/>
    <mergeCell ref="P262:S262"/>
    <mergeCell ref="P263:S263"/>
    <mergeCell ref="P264:S264"/>
    <mergeCell ref="P265:S265"/>
    <mergeCell ref="P254:S254"/>
    <mergeCell ref="P255:S255"/>
    <mergeCell ref="P256:S256"/>
    <mergeCell ref="P257:S257"/>
    <mergeCell ref="P258:S258"/>
    <mergeCell ref="P259:S259"/>
    <mergeCell ref="P248:S248"/>
    <mergeCell ref="P249:S249"/>
    <mergeCell ref="P250:S250"/>
    <mergeCell ref="P251:S251"/>
    <mergeCell ref="P252:S252"/>
    <mergeCell ref="P253:S253"/>
    <mergeCell ref="P242:S242"/>
    <mergeCell ref="P243:S243"/>
    <mergeCell ref="P244:S244"/>
    <mergeCell ref="P245:S245"/>
    <mergeCell ref="P246:S246"/>
    <mergeCell ref="P247:S247"/>
    <mergeCell ref="P236:S236"/>
    <mergeCell ref="P237:S237"/>
    <mergeCell ref="P238:S238"/>
    <mergeCell ref="P239:S239"/>
    <mergeCell ref="P240:S240"/>
    <mergeCell ref="P241:S241"/>
    <mergeCell ref="P230:S230"/>
    <mergeCell ref="P231:S231"/>
    <mergeCell ref="P232:S232"/>
    <mergeCell ref="P233:S233"/>
    <mergeCell ref="P234:S234"/>
    <mergeCell ref="P235:S235"/>
    <mergeCell ref="P224:S224"/>
    <mergeCell ref="P225:S225"/>
    <mergeCell ref="P226:S226"/>
    <mergeCell ref="P227:S227"/>
    <mergeCell ref="P228:S228"/>
    <mergeCell ref="P229:S229"/>
    <mergeCell ref="P218:S218"/>
    <mergeCell ref="P219:S219"/>
    <mergeCell ref="P220:S220"/>
    <mergeCell ref="P221:S221"/>
    <mergeCell ref="P222:S222"/>
    <mergeCell ref="P223:S223"/>
    <mergeCell ref="P212:S212"/>
    <mergeCell ref="P213:S213"/>
    <mergeCell ref="P214:S214"/>
    <mergeCell ref="P215:S215"/>
    <mergeCell ref="P216:S216"/>
    <mergeCell ref="P217:S217"/>
    <mergeCell ref="P206:S206"/>
    <mergeCell ref="P207:S207"/>
    <mergeCell ref="P208:S208"/>
    <mergeCell ref="P209:S209"/>
    <mergeCell ref="P210:S210"/>
    <mergeCell ref="P211:S211"/>
    <mergeCell ref="P200:S200"/>
    <mergeCell ref="P201:S201"/>
    <mergeCell ref="P202:S202"/>
    <mergeCell ref="P203:S203"/>
    <mergeCell ref="P204:S204"/>
    <mergeCell ref="P205:S205"/>
    <mergeCell ref="P194:S194"/>
    <mergeCell ref="P195:S195"/>
    <mergeCell ref="P196:S196"/>
    <mergeCell ref="P197:S197"/>
    <mergeCell ref="P198:S198"/>
    <mergeCell ref="P199:S199"/>
    <mergeCell ref="P188:S188"/>
    <mergeCell ref="P189:S189"/>
    <mergeCell ref="P190:S190"/>
    <mergeCell ref="P191:S191"/>
    <mergeCell ref="P192:S192"/>
    <mergeCell ref="P193:S193"/>
    <mergeCell ref="P182:S182"/>
    <mergeCell ref="P183:S183"/>
    <mergeCell ref="P184:S184"/>
    <mergeCell ref="P185:S185"/>
    <mergeCell ref="P186:S186"/>
    <mergeCell ref="P187:S187"/>
    <mergeCell ref="P176:S176"/>
    <mergeCell ref="P177:S177"/>
    <mergeCell ref="P178:S178"/>
    <mergeCell ref="P179:S179"/>
    <mergeCell ref="P180:S180"/>
    <mergeCell ref="P181:S181"/>
    <mergeCell ref="P170:S170"/>
    <mergeCell ref="P171:S171"/>
    <mergeCell ref="P172:S172"/>
    <mergeCell ref="P173:S173"/>
    <mergeCell ref="P174:S174"/>
    <mergeCell ref="P175:S175"/>
    <mergeCell ref="P164:S164"/>
    <mergeCell ref="P165:S165"/>
    <mergeCell ref="P166:S166"/>
    <mergeCell ref="P167:S167"/>
    <mergeCell ref="P168:S168"/>
    <mergeCell ref="P169:S169"/>
    <mergeCell ref="P158:S158"/>
    <mergeCell ref="P159:S159"/>
    <mergeCell ref="P160:S160"/>
    <mergeCell ref="P161:S161"/>
    <mergeCell ref="P162:S162"/>
    <mergeCell ref="P163:S163"/>
    <mergeCell ref="P152:S152"/>
    <mergeCell ref="P153:S153"/>
    <mergeCell ref="P154:S154"/>
    <mergeCell ref="P155:S155"/>
    <mergeCell ref="P156:S156"/>
    <mergeCell ref="P157:S157"/>
    <mergeCell ref="P146:S146"/>
    <mergeCell ref="P147:S147"/>
    <mergeCell ref="P148:S148"/>
    <mergeCell ref="P149:S149"/>
    <mergeCell ref="P150:S150"/>
    <mergeCell ref="P151:S151"/>
    <mergeCell ref="P140:S140"/>
    <mergeCell ref="P141:S141"/>
    <mergeCell ref="P142:S142"/>
    <mergeCell ref="P143:S143"/>
    <mergeCell ref="P144:S144"/>
    <mergeCell ref="P145:S145"/>
    <mergeCell ref="P134:S134"/>
    <mergeCell ref="P135:S135"/>
    <mergeCell ref="P136:S136"/>
    <mergeCell ref="P137:S137"/>
    <mergeCell ref="P138:S138"/>
    <mergeCell ref="P139:S139"/>
    <mergeCell ref="P128:S128"/>
    <mergeCell ref="P129:S129"/>
    <mergeCell ref="P130:S130"/>
    <mergeCell ref="P131:S131"/>
    <mergeCell ref="P132:S132"/>
    <mergeCell ref="P133:S133"/>
    <mergeCell ref="P122:S122"/>
    <mergeCell ref="P123:S123"/>
    <mergeCell ref="P124:S124"/>
    <mergeCell ref="P125:S125"/>
    <mergeCell ref="P126:S126"/>
    <mergeCell ref="P127:S127"/>
    <mergeCell ref="P116:S116"/>
    <mergeCell ref="P117:S117"/>
    <mergeCell ref="P118:S118"/>
    <mergeCell ref="P119:S119"/>
    <mergeCell ref="P120:S120"/>
    <mergeCell ref="P121:S121"/>
    <mergeCell ref="P110:S110"/>
    <mergeCell ref="P111:S111"/>
    <mergeCell ref="P112:S112"/>
    <mergeCell ref="P113:S113"/>
    <mergeCell ref="P114:S114"/>
    <mergeCell ref="P115:S115"/>
    <mergeCell ref="P104:S104"/>
    <mergeCell ref="P105:S105"/>
    <mergeCell ref="P106:S106"/>
    <mergeCell ref="P107:S107"/>
    <mergeCell ref="P108:S108"/>
    <mergeCell ref="P109:S109"/>
    <mergeCell ref="P98:S98"/>
    <mergeCell ref="P99:S99"/>
    <mergeCell ref="P100:S100"/>
    <mergeCell ref="P101:S101"/>
    <mergeCell ref="P102:S102"/>
    <mergeCell ref="P103:S103"/>
    <mergeCell ref="P92:S92"/>
    <mergeCell ref="P93:S93"/>
    <mergeCell ref="P94:S94"/>
    <mergeCell ref="P95:S95"/>
    <mergeCell ref="P96:S96"/>
    <mergeCell ref="P97:S97"/>
    <mergeCell ref="P86:S86"/>
    <mergeCell ref="P87:S87"/>
    <mergeCell ref="P88:S88"/>
    <mergeCell ref="P89:S89"/>
    <mergeCell ref="P90:S90"/>
    <mergeCell ref="P91:S91"/>
    <mergeCell ref="P80:S80"/>
    <mergeCell ref="P81:S81"/>
    <mergeCell ref="P82:S82"/>
    <mergeCell ref="P83:S83"/>
    <mergeCell ref="P84:S84"/>
    <mergeCell ref="P85:S85"/>
    <mergeCell ref="P74:S74"/>
    <mergeCell ref="P75:S75"/>
    <mergeCell ref="P76:S76"/>
    <mergeCell ref="P77:S77"/>
    <mergeCell ref="P78:S78"/>
    <mergeCell ref="P79:S79"/>
    <mergeCell ref="P68:S68"/>
    <mergeCell ref="P69:S69"/>
    <mergeCell ref="P70:S70"/>
    <mergeCell ref="P71:S71"/>
    <mergeCell ref="P72:S72"/>
    <mergeCell ref="P73:S73"/>
    <mergeCell ref="P62:S62"/>
    <mergeCell ref="P63:S63"/>
    <mergeCell ref="P64:S64"/>
    <mergeCell ref="P65:S65"/>
    <mergeCell ref="P66:S66"/>
    <mergeCell ref="P67:S67"/>
    <mergeCell ref="P56:S56"/>
    <mergeCell ref="P57:S57"/>
    <mergeCell ref="P58:S58"/>
    <mergeCell ref="P59:S59"/>
    <mergeCell ref="P60:S60"/>
    <mergeCell ref="P61:S61"/>
    <mergeCell ref="P50:S50"/>
    <mergeCell ref="P51:S51"/>
    <mergeCell ref="P52:S52"/>
    <mergeCell ref="P53:S53"/>
    <mergeCell ref="P54:S54"/>
    <mergeCell ref="P55:S55"/>
    <mergeCell ref="P44:S44"/>
    <mergeCell ref="P45:S45"/>
    <mergeCell ref="P46:S46"/>
    <mergeCell ref="P47:S47"/>
    <mergeCell ref="P48:S48"/>
    <mergeCell ref="P49:S49"/>
    <mergeCell ref="P38:S38"/>
    <mergeCell ref="P39:S39"/>
    <mergeCell ref="P40:S40"/>
    <mergeCell ref="P41:S41"/>
    <mergeCell ref="P42:S42"/>
    <mergeCell ref="P43:S43"/>
    <mergeCell ref="P32:S32"/>
    <mergeCell ref="P33:S33"/>
    <mergeCell ref="P34:S34"/>
    <mergeCell ref="P35:S35"/>
    <mergeCell ref="P36:S36"/>
    <mergeCell ref="P37:S37"/>
    <mergeCell ref="P26:S26"/>
    <mergeCell ref="P27:S27"/>
    <mergeCell ref="P28:S28"/>
    <mergeCell ref="P29:S29"/>
    <mergeCell ref="P30:S30"/>
    <mergeCell ref="P31:S31"/>
    <mergeCell ref="P20:S20"/>
    <mergeCell ref="P21:S21"/>
    <mergeCell ref="P22:S22"/>
    <mergeCell ref="P23:S23"/>
    <mergeCell ref="P24:S24"/>
    <mergeCell ref="P25:S25"/>
    <mergeCell ref="P14:S14"/>
    <mergeCell ref="P15:S15"/>
    <mergeCell ref="P16:S16"/>
    <mergeCell ref="P17:S17"/>
    <mergeCell ref="P18:S18"/>
    <mergeCell ref="P19:S19"/>
    <mergeCell ref="P8:S8"/>
    <mergeCell ref="P9:S9"/>
    <mergeCell ref="P10:S10"/>
    <mergeCell ref="P11:S11"/>
    <mergeCell ref="P12:S12"/>
    <mergeCell ref="P13:S13"/>
    <mergeCell ref="K5:M6"/>
    <mergeCell ref="P5:P6"/>
    <mergeCell ref="Q5:Q6"/>
    <mergeCell ref="R5:R6"/>
    <mergeCell ref="S5:S6"/>
    <mergeCell ref="T5:U6"/>
    <mergeCell ref="N6:N7"/>
    <mergeCell ref="P7:S7"/>
    <mergeCell ref="A3:B3"/>
    <mergeCell ref="A4:B4"/>
    <mergeCell ref="A5:A7"/>
    <mergeCell ref="B5:B7"/>
    <mergeCell ref="C5:F6"/>
    <mergeCell ref="G5:J6"/>
  </mergeCells>
  <conditionalFormatting sqref="V6">
    <cfRule type="cellIs" dxfId="1" priority="1" operator="equal">
      <formula>"ERREUR"</formula>
    </cfRule>
    <cfRule type="cellIs" dxfId="0" priority="2" operator="equal">
      <formula>"OK"</formula>
    </cfRule>
  </conditionalFormatting>
  <hyperlinks>
    <hyperlink ref="C1" location="Police!A1" display="← Précédent" xr:uid="{A65B0BDA-BB62-4547-A6D9-7AA0C22D5396}"/>
    <hyperlink ref="D1" location="'Table des matières'!A1" display="Table des matières" xr:uid="{906ED2A1-899E-4A97-A744-CCBC5898B9B0}"/>
    <hyperlink ref="E1" location="'Synthèse par commune'!A1" display="Synthèse par commune" xr:uid="{6B6A8B70-6A61-48F7-AD7A-348C912B39BB}"/>
    <hyperlink ref="F1" location="'Détail par commune'!A1" display="Détail par commune" xr:uid="{2689E8BD-507F-4837-98D5-17BB03B98004}"/>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5751D-2F16-4C66-B637-5BEEEB9608C8}">
  <sheetPr>
    <tabColor theme="0" tint="-4.9989318521683403E-2"/>
  </sheetPr>
  <dimension ref="A1:U322"/>
  <sheetViews>
    <sheetView zoomScale="90" zoomScaleNormal="90" workbookViewId="0"/>
  </sheetViews>
  <sheetFormatPr baseColWidth="10" defaultRowHeight="15" x14ac:dyDescent="0.25"/>
  <cols>
    <col min="1" max="1" width="26.7109375" style="138" customWidth="1"/>
    <col min="2" max="3" width="12.85546875" style="138" customWidth="1"/>
    <col min="4" max="4" width="7.140625" style="138" customWidth="1"/>
    <col min="5" max="6" width="19.140625" style="138" customWidth="1"/>
    <col min="7" max="7" width="12.85546875" style="138" customWidth="1"/>
    <col min="8" max="8" width="7.140625" style="138" customWidth="1"/>
    <col min="9" max="10" width="19.28515625" style="138" customWidth="1"/>
    <col min="11" max="11" width="12.85546875" style="138" customWidth="1"/>
    <col min="12" max="12" width="4.28515625" style="138" customWidth="1"/>
    <col min="13" max="13" width="13.42578125" style="138" customWidth="1"/>
    <col min="14" max="21" width="12.85546875" style="138" customWidth="1"/>
    <col min="22" max="22" width="4.28515625" style="138" customWidth="1"/>
    <col min="23" max="16384" width="11.42578125" style="138"/>
  </cols>
  <sheetData>
    <row r="1" spans="1:21" ht="27" customHeight="1" x14ac:dyDescent="0.25">
      <c r="A1" s="135" t="s">
        <v>397</v>
      </c>
      <c r="B1" s="136" t="s">
        <v>441</v>
      </c>
      <c r="C1" s="137" t="s">
        <v>442</v>
      </c>
      <c r="D1" s="481" t="s">
        <v>443</v>
      </c>
      <c r="E1" s="481"/>
      <c r="H1" s="153"/>
      <c r="I1" s="489"/>
      <c r="J1" s="490"/>
    </row>
    <row r="2" spans="1:21" ht="26.25" x14ac:dyDescent="0.2">
      <c r="A2" s="135"/>
      <c r="B2" s="135"/>
      <c r="C2" s="135"/>
      <c r="I2" s="139"/>
      <c r="J2" s="139"/>
    </row>
    <row r="3" spans="1:21" ht="15" customHeight="1" x14ac:dyDescent="0.25"/>
    <row r="4" spans="1:21" s="140" customFormat="1" ht="22.5" customHeight="1" x14ac:dyDescent="0.25">
      <c r="A4" s="454" t="s">
        <v>2</v>
      </c>
      <c r="B4" s="454"/>
      <c r="C4" s="454"/>
      <c r="E4" s="454" t="s">
        <v>602</v>
      </c>
      <c r="F4" s="454"/>
      <c r="G4" s="454"/>
      <c r="I4" s="455" t="s">
        <v>517</v>
      </c>
      <c r="J4" s="455"/>
      <c r="K4" s="455"/>
      <c r="M4" s="141" t="s">
        <v>438</v>
      </c>
      <c r="N4" s="141" t="s">
        <v>437</v>
      </c>
      <c r="O4" s="141" t="s">
        <v>399</v>
      </c>
      <c r="P4" s="142" t="s">
        <v>403</v>
      </c>
      <c r="Q4" s="141" t="str">
        <f>IF(M5="Décompte prévisionnel",CONCATENATE("IPC avril ",N5-1),IF(OR(M5="Décompte final",M5="Projet de décompte final"),CONCATENATE("IPC juin ",N5),"ERREUR"))</f>
        <v>IPC juin 2025</v>
      </c>
      <c r="S4" s="454" t="s">
        <v>603</v>
      </c>
      <c r="T4" s="454"/>
      <c r="U4" s="454"/>
    </row>
    <row r="5" spans="1:21" ht="22.5" customHeight="1" x14ac:dyDescent="0.25">
      <c r="A5" s="456" t="s">
        <v>599</v>
      </c>
      <c r="B5" s="456"/>
      <c r="C5" s="143">
        <v>0.8</v>
      </c>
      <c r="E5" s="451" t="s">
        <v>453</v>
      </c>
      <c r="F5" s="452"/>
      <c r="G5" s="143">
        <v>1.2</v>
      </c>
      <c r="H5" s="140"/>
      <c r="I5" s="456" t="s">
        <v>584</v>
      </c>
      <c r="J5" s="456"/>
      <c r="K5" s="12">
        <f>K6+K14-K10</f>
        <v>943049637</v>
      </c>
      <c r="M5" s="225" t="s">
        <v>611</v>
      </c>
      <c r="N5" s="107">
        <v>2025</v>
      </c>
      <c r="O5" s="144">
        <f>IF(M5="Décompte prévisionnel",N5-2,IF(OR(M5="Décompte final",M5="Projet de décompte final"),N5,"ERREUR"))</f>
        <v>2025</v>
      </c>
      <c r="P5" s="144">
        <v>101.1</v>
      </c>
      <c r="Q5" s="106">
        <v>107.8</v>
      </c>
      <c r="S5" s="479" t="s">
        <v>400</v>
      </c>
      <c r="T5" s="480"/>
      <c r="U5" s="143">
        <v>0.6</v>
      </c>
    </row>
    <row r="6" spans="1:21" ht="22.5" customHeight="1" x14ac:dyDescent="0.25">
      <c r="A6" s="451" t="s">
        <v>598</v>
      </c>
      <c r="B6" s="452"/>
      <c r="C6" s="143">
        <v>0.9</v>
      </c>
      <c r="E6" s="451" t="s">
        <v>408</v>
      </c>
      <c r="F6" s="452"/>
      <c r="G6" s="53">
        <v>100</v>
      </c>
      <c r="I6" s="466" t="s">
        <v>585</v>
      </c>
      <c r="J6" s="467"/>
      <c r="K6" s="108">
        <f>898039407-K14</f>
        <v>841431539</v>
      </c>
      <c r="P6" s="491" t="s">
        <v>580</v>
      </c>
      <c r="Q6" s="491"/>
    </row>
    <row r="7" spans="1:21" ht="22.5" customHeight="1" x14ac:dyDescent="0.25">
      <c r="A7" s="457" t="s">
        <v>597</v>
      </c>
      <c r="B7" s="468"/>
      <c r="C7" s="471">
        <v>1</v>
      </c>
      <c r="E7" s="451" t="s">
        <v>406</v>
      </c>
      <c r="F7" s="452"/>
      <c r="G7" s="80">
        <f>G6/P5*Q5</f>
        <v>106.6271018793274</v>
      </c>
      <c r="M7" s="455" t="s">
        <v>465</v>
      </c>
      <c r="N7" s="455"/>
      <c r="O7" s="455"/>
      <c r="P7" s="455"/>
      <c r="Q7" s="455"/>
      <c r="R7" s="455"/>
      <c r="S7" s="455"/>
      <c r="T7" s="455"/>
      <c r="U7" s="455"/>
    </row>
    <row r="8" spans="1:21" ht="22.5" customHeight="1" thickBot="1" x14ac:dyDescent="0.3">
      <c r="A8" s="469"/>
      <c r="B8" s="470"/>
      <c r="C8" s="472"/>
      <c r="E8" s="451" t="s">
        <v>481</v>
      </c>
      <c r="F8" s="452"/>
      <c r="G8" s="105" t="s">
        <v>394</v>
      </c>
      <c r="I8" s="455" t="s">
        <v>454</v>
      </c>
      <c r="J8" s="455"/>
      <c r="K8" s="455"/>
      <c r="M8" s="484" t="s">
        <v>50</v>
      </c>
      <c r="N8" s="485"/>
      <c r="O8" s="485"/>
      <c r="P8" s="485"/>
      <c r="Q8" s="485"/>
      <c r="R8" s="485"/>
      <c r="S8" s="485"/>
      <c r="T8" s="485"/>
      <c r="U8" s="486"/>
    </row>
    <row r="9" spans="1:21" ht="22.5" customHeight="1" thickTop="1" thickBot="1" x14ac:dyDescent="0.3">
      <c r="A9" s="457" t="s">
        <v>596</v>
      </c>
      <c r="B9" s="458"/>
      <c r="C9" s="464">
        <v>0.5</v>
      </c>
      <c r="I9" s="459" t="s">
        <v>478</v>
      </c>
      <c r="J9" s="460"/>
      <c r="K9" s="146">
        <v>160000000</v>
      </c>
      <c r="M9" s="147" t="s">
        <v>22</v>
      </c>
      <c r="N9" s="82">
        <v>0</v>
      </c>
      <c r="O9" s="82">
        <v>1000</v>
      </c>
      <c r="P9" s="82">
        <v>3000</v>
      </c>
      <c r="Q9" s="82">
        <v>5000</v>
      </c>
      <c r="R9" s="82">
        <v>12000</v>
      </c>
      <c r="S9" s="82">
        <v>15000</v>
      </c>
      <c r="T9" s="82">
        <v>30000</v>
      </c>
      <c r="U9" s="82">
        <v>45000</v>
      </c>
    </row>
    <row r="10" spans="1:21" ht="22.5" customHeight="1" thickTop="1" x14ac:dyDescent="0.25">
      <c r="A10" s="462"/>
      <c r="B10" s="463"/>
      <c r="C10" s="465"/>
      <c r="E10" s="454" t="s">
        <v>604</v>
      </c>
      <c r="F10" s="454"/>
      <c r="G10" s="454"/>
      <c r="I10" s="461" t="s">
        <v>522</v>
      </c>
      <c r="J10" s="461"/>
      <c r="K10" s="109">
        <f>-44147630-862600</f>
        <v>-45010230</v>
      </c>
      <c r="M10" s="148" t="s">
        <v>23</v>
      </c>
      <c r="N10" s="82">
        <v>1000</v>
      </c>
      <c r="O10" s="82">
        <v>3000</v>
      </c>
      <c r="P10" s="82">
        <v>5000</v>
      </c>
      <c r="Q10" s="82">
        <v>12000</v>
      </c>
      <c r="R10" s="82">
        <v>15000</v>
      </c>
      <c r="S10" s="82">
        <v>30000</v>
      </c>
      <c r="T10" s="82">
        <v>45000</v>
      </c>
      <c r="U10" s="82" t="str">
        <f>""</f>
        <v/>
      </c>
    </row>
    <row r="11" spans="1:21" ht="22.5" customHeight="1" x14ac:dyDescent="0.25">
      <c r="A11" s="457" t="s">
        <v>595</v>
      </c>
      <c r="B11" s="458"/>
      <c r="C11" s="149">
        <v>0.3</v>
      </c>
      <c r="E11" s="451" t="s">
        <v>410</v>
      </c>
      <c r="F11" s="452"/>
      <c r="G11" s="53">
        <v>550</v>
      </c>
      <c r="I11" s="456" t="s">
        <v>523</v>
      </c>
      <c r="J11" s="456"/>
      <c r="K11" s="108">
        <v>-15843099</v>
      </c>
      <c r="M11" s="148" t="s">
        <v>28</v>
      </c>
      <c r="N11" s="53">
        <v>125</v>
      </c>
      <c r="O11" s="53">
        <v>350</v>
      </c>
      <c r="P11" s="487">
        <v>625</v>
      </c>
      <c r="Q11" s="488"/>
      <c r="R11" s="53">
        <v>1000</v>
      </c>
      <c r="S11" s="53">
        <v>1050</v>
      </c>
      <c r="T11" s="53">
        <v>1100</v>
      </c>
      <c r="U11" s="53">
        <v>1150</v>
      </c>
    </row>
    <row r="12" spans="1:21" ht="22.5" customHeight="1" x14ac:dyDescent="0.25">
      <c r="A12" s="451" t="s">
        <v>594</v>
      </c>
      <c r="B12" s="452"/>
      <c r="C12" s="82">
        <v>450000</v>
      </c>
      <c r="E12" s="451" t="s">
        <v>406</v>
      </c>
      <c r="F12" s="452"/>
      <c r="G12" s="80">
        <f>G11/P5*Q5</f>
        <v>586.4490603363007</v>
      </c>
      <c r="H12" s="150"/>
      <c r="I12" s="456" t="s">
        <v>461</v>
      </c>
      <c r="J12" s="456"/>
      <c r="K12" s="12">
        <f>-SUM(C23:C322)*K16</f>
        <v>-10113300</v>
      </c>
      <c r="M12" s="72" t="s">
        <v>406</v>
      </c>
      <c r="N12" s="80">
        <f t="shared" ref="N12:U12" si="0">N11/$P$5*$Q$5</f>
        <v>133.28387734915924</v>
      </c>
      <c r="O12" s="80">
        <f t="shared" si="0"/>
        <v>373.19485657764591</v>
      </c>
      <c r="P12" s="482">
        <f t="shared" si="0"/>
        <v>666.41938674579626</v>
      </c>
      <c r="Q12" s="483"/>
      <c r="R12" s="103">
        <f t="shared" si="0"/>
        <v>1066.2710187932739</v>
      </c>
      <c r="S12" s="80">
        <f t="shared" si="0"/>
        <v>1119.5845697329378</v>
      </c>
      <c r="T12" s="80">
        <f t="shared" si="0"/>
        <v>1172.8981206726014</v>
      </c>
      <c r="U12" s="80">
        <f t="shared" si="0"/>
        <v>1226.211671612265</v>
      </c>
    </row>
    <row r="13" spans="1:21" ht="22.5" customHeight="1" thickBot="1" x14ac:dyDescent="0.3">
      <c r="E13" s="451" t="s">
        <v>416</v>
      </c>
      <c r="F13" s="452"/>
      <c r="G13" s="81">
        <v>730</v>
      </c>
      <c r="H13" s="150"/>
      <c r="I13" s="475" t="s">
        <v>524</v>
      </c>
      <c r="J13" s="475"/>
      <c r="K13" s="25">
        <f>(Ressources!L308+'Besoins structurels'!V308+'Besoins structurels'!N308+'Besoins structurels'!I308)</f>
        <v>-32425503</v>
      </c>
      <c r="M13" s="478" t="s">
        <v>479</v>
      </c>
      <c r="N13" s="453">
        <v>2</v>
      </c>
      <c r="O13" s="453">
        <v>3</v>
      </c>
      <c r="P13" s="453">
        <v>3.5</v>
      </c>
      <c r="Q13" s="453">
        <v>4</v>
      </c>
      <c r="R13" s="453">
        <v>5</v>
      </c>
      <c r="S13" s="453">
        <v>6</v>
      </c>
      <c r="T13" s="453">
        <v>7</v>
      </c>
      <c r="U13" s="453">
        <v>8</v>
      </c>
    </row>
    <row r="14" spans="1:21" ht="22.5" customHeight="1" thickTop="1" thickBot="1" x14ac:dyDescent="0.3">
      <c r="A14" s="455" t="s">
        <v>455</v>
      </c>
      <c r="B14" s="455"/>
      <c r="C14" s="455"/>
      <c r="H14" s="445"/>
      <c r="I14" s="473" t="s">
        <v>525</v>
      </c>
      <c r="J14" s="474"/>
      <c r="K14" s="151">
        <f>K9+SUM(K10:K13)</f>
        <v>56607868</v>
      </c>
      <c r="M14" s="478"/>
      <c r="N14" s="453"/>
      <c r="O14" s="453"/>
      <c r="P14" s="453"/>
      <c r="Q14" s="453"/>
      <c r="R14" s="453"/>
      <c r="S14" s="453"/>
      <c r="T14" s="453"/>
      <c r="U14" s="453"/>
    </row>
    <row r="15" spans="1:21" ht="22.5" customHeight="1" thickTop="1" x14ac:dyDescent="0.25">
      <c r="A15" s="456" t="s">
        <v>456</v>
      </c>
      <c r="B15" s="456"/>
      <c r="C15" s="82">
        <v>74269768</v>
      </c>
      <c r="E15" s="455" t="s">
        <v>605</v>
      </c>
      <c r="F15" s="455"/>
      <c r="G15" s="455"/>
    </row>
    <row r="16" spans="1:21" ht="22.5" customHeight="1" x14ac:dyDescent="0.25">
      <c r="A16" s="456" t="s">
        <v>457</v>
      </c>
      <c r="B16" s="456"/>
      <c r="C16" s="145">
        <v>1.4999999999999999E-2</v>
      </c>
      <c r="E16" s="456" t="s">
        <v>453</v>
      </c>
      <c r="F16" s="456"/>
      <c r="G16" s="143">
        <v>1.2</v>
      </c>
      <c r="I16" s="451" t="s">
        <v>461</v>
      </c>
      <c r="J16" s="452"/>
      <c r="K16" s="134">
        <f>IF(N5=2025,100%,IF(N5=2026,100%,IF(N5=2027,75%,IF(N5=2028,50%,IF(N5=2029,25%,0)))))</f>
        <v>1</v>
      </c>
      <c r="M16" s="141" t="s">
        <v>559</v>
      </c>
      <c r="N16" s="450" t="s">
        <v>531</v>
      </c>
      <c r="O16" s="450"/>
      <c r="P16" s="450"/>
      <c r="Q16" s="450"/>
      <c r="R16" s="450"/>
      <c r="S16" s="450"/>
      <c r="T16" s="450"/>
      <c r="U16" s="450"/>
    </row>
    <row r="17" spans="1:21" ht="22.5" customHeight="1" thickBot="1" x14ac:dyDescent="0.3">
      <c r="A17" s="456" t="str">
        <f>CONCATENATE("Facture ",N5)</f>
        <v>Facture 2025</v>
      </c>
      <c r="B17" s="456"/>
      <c r="C17" s="12">
        <f>ROUND((C15*(1+C16)^(N5-2025)),0)</f>
        <v>74269768</v>
      </c>
      <c r="E17" s="456" t="s">
        <v>409</v>
      </c>
      <c r="F17" s="456"/>
      <c r="G17" s="53">
        <v>4000</v>
      </c>
      <c r="I17" s="451" t="s">
        <v>600</v>
      </c>
      <c r="J17" s="452"/>
      <c r="K17" s="444">
        <f>-K13-K12</f>
        <v>42538803</v>
      </c>
      <c r="M17" s="141" t="s">
        <v>515</v>
      </c>
      <c r="N17" s="450" t="s">
        <v>537</v>
      </c>
      <c r="O17" s="450"/>
      <c r="P17" s="450"/>
      <c r="Q17" s="450"/>
      <c r="R17" s="450"/>
      <c r="S17" s="450"/>
      <c r="T17" s="450"/>
      <c r="U17" s="450"/>
    </row>
    <row r="18" spans="1:21" ht="22.5" customHeight="1" thickTop="1" thickBot="1" x14ac:dyDescent="0.3">
      <c r="A18" s="451" t="s">
        <v>458</v>
      </c>
      <c r="B18" s="452"/>
      <c r="C18" s="143">
        <v>0.35</v>
      </c>
      <c r="E18" s="456" t="s">
        <v>406</v>
      </c>
      <c r="F18" s="456"/>
      <c r="G18" s="80">
        <f>G17/P5*Q5</f>
        <v>4265.0840751730957</v>
      </c>
      <c r="I18" s="473" t="s">
        <v>558</v>
      </c>
      <c r="J18" s="474"/>
      <c r="K18" s="371" t="s">
        <v>581</v>
      </c>
      <c r="M18" s="141" t="s">
        <v>462</v>
      </c>
      <c r="N18" s="450" t="s">
        <v>528</v>
      </c>
      <c r="O18" s="450"/>
      <c r="P18" s="450"/>
      <c r="Q18" s="450"/>
      <c r="R18" s="450"/>
      <c r="S18" s="450"/>
      <c r="T18" s="450"/>
      <c r="U18" s="450"/>
    </row>
    <row r="19" spans="1:21" ht="22.5" customHeight="1" thickTop="1" x14ac:dyDescent="0.25">
      <c r="A19" s="451" t="s">
        <v>459</v>
      </c>
      <c r="B19" s="452"/>
      <c r="C19" s="143">
        <v>0.5</v>
      </c>
      <c r="E19" s="456" t="s">
        <v>407</v>
      </c>
      <c r="F19" s="456"/>
      <c r="G19" s="144">
        <v>0.15</v>
      </c>
      <c r="M19" s="141" t="s">
        <v>463</v>
      </c>
      <c r="N19" s="450" t="s">
        <v>529</v>
      </c>
      <c r="O19" s="450"/>
      <c r="P19" s="450"/>
      <c r="Q19" s="450"/>
      <c r="R19" s="450"/>
      <c r="S19" s="450"/>
      <c r="T19" s="450"/>
      <c r="U19" s="450"/>
    </row>
    <row r="20" spans="1:21" ht="22.5" customHeight="1" x14ac:dyDescent="0.25">
      <c r="A20" s="476" t="s">
        <v>460</v>
      </c>
      <c r="B20" s="477"/>
      <c r="C20" s="143">
        <v>0.5</v>
      </c>
      <c r="I20" s="479" t="s">
        <v>601</v>
      </c>
      <c r="J20" s="480"/>
      <c r="K20" s="444">
        <f>Données!N308</f>
        <v>40590297.160000004</v>
      </c>
      <c r="M20" s="141" t="s">
        <v>464</v>
      </c>
      <c r="N20" s="450" t="s">
        <v>530</v>
      </c>
      <c r="O20" s="450"/>
      <c r="P20" s="450"/>
      <c r="Q20" s="450"/>
      <c r="R20" s="450"/>
      <c r="S20" s="450"/>
      <c r="T20" s="450"/>
      <c r="U20" s="450"/>
    </row>
    <row r="21" spans="1:21" ht="22.5" customHeight="1" x14ac:dyDescent="0.25">
      <c r="G21" s="153"/>
    </row>
    <row r="22" spans="1:21" ht="18.75" x14ac:dyDescent="0.25">
      <c r="A22" s="152" t="s">
        <v>413</v>
      </c>
      <c r="C22" s="152" t="s">
        <v>513</v>
      </c>
    </row>
    <row r="23" spans="1:21" x14ac:dyDescent="0.25">
      <c r="A23" s="232" t="s">
        <v>220</v>
      </c>
      <c r="B23" s="138">
        <v>5621</v>
      </c>
      <c r="C23" s="153">
        <v>0</v>
      </c>
    </row>
    <row r="24" spans="1:21" x14ac:dyDescent="0.25">
      <c r="A24" s="232" t="s">
        <v>296</v>
      </c>
      <c r="B24" s="138">
        <v>5742</v>
      </c>
      <c r="C24" s="153">
        <v>0</v>
      </c>
    </row>
    <row r="25" spans="1:21" x14ac:dyDescent="0.25">
      <c r="A25" s="232" t="s">
        <v>66</v>
      </c>
      <c r="B25" s="138">
        <v>5401</v>
      </c>
      <c r="C25" s="153">
        <v>0</v>
      </c>
    </row>
    <row r="26" spans="1:21" x14ac:dyDescent="0.25">
      <c r="A26" s="232" t="s">
        <v>340</v>
      </c>
      <c r="B26" s="138">
        <v>5851</v>
      </c>
      <c r="C26" s="153">
        <v>0</v>
      </c>
    </row>
    <row r="27" spans="1:21" x14ac:dyDescent="0.25">
      <c r="A27" s="232" t="s">
        <v>265</v>
      </c>
      <c r="B27" s="138">
        <v>5701</v>
      </c>
      <c r="C27" s="153">
        <v>0</v>
      </c>
    </row>
    <row r="28" spans="1:21" x14ac:dyDescent="0.25">
      <c r="A28" s="232" t="s">
        <v>297</v>
      </c>
      <c r="B28" s="138">
        <v>5743</v>
      </c>
      <c r="C28" s="153">
        <v>0</v>
      </c>
    </row>
    <row r="29" spans="1:21" x14ac:dyDescent="0.25">
      <c r="A29" s="232" t="s">
        <v>266</v>
      </c>
      <c r="B29" s="138">
        <v>5702</v>
      </c>
      <c r="C29" s="153">
        <v>0</v>
      </c>
    </row>
    <row r="30" spans="1:21" x14ac:dyDescent="0.25">
      <c r="A30" s="232" t="s">
        <v>165</v>
      </c>
      <c r="B30" s="138">
        <v>5511</v>
      </c>
      <c r="C30" s="153">
        <v>58900</v>
      </c>
    </row>
    <row r="31" spans="1:21" x14ac:dyDescent="0.25">
      <c r="A31" s="232" t="s">
        <v>119</v>
      </c>
      <c r="B31" s="138">
        <v>5422</v>
      </c>
      <c r="C31" s="153">
        <v>0</v>
      </c>
    </row>
    <row r="32" spans="1:21" x14ac:dyDescent="0.25">
      <c r="A32" s="232" t="s">
        <v>132</v>
      </c>
      <c r="B32" s="138">
        <v>5451</v>
      </c>
      <c r="C32" s="153">
        <v>224200</v>
      </c>
    </row>
    <row r="33" spans="1:3" x14ac:dyDescent="0.25">
      <c r="A33" s="232" t="s">
        <v>298</v>
      </c>
      <c r="B33" s="138">
        <v>5744</v>
      </c>
      <c r="C33" s="153">
        <v>49300</v>
      </c>
    </row>
    <row r="34" spans="1:3" x14ac:dyDescent="0.25">
      <c r="A34" s="232" t="s">
        <v>411</v>
      </c>
      <c r="B34" s="138">
        <v>5423</v>
      </c>
      <c r="C34" s="153">
        <v>0</v>
      </c>
    </row>
    <row r="35" spans="1:3" x14ac:dyDescent="0.25">
      <c r="A35" s="232" t="s">
        <v>412</v>
      </c>
      <c r="B35" s="138">
        <v>5703</v>
      </c>
      <c r="C35" s="153">
        <v>0</v>
      </c>
    </row>
    <row r="36" spans="1:3" x14ac:dyDescent="0.25">
      <c r="A36" s="232" t="s">
        <v>299</v>
      </c>
      <c r="B36" s="138">
        <v>5745</v>
      </c>
      <c r="C36" s="153">
        <v>192100</v>
      </c>
    </row>
    <row r="37" spans="1:3" x14ac:dyDescent="0.25">
      <c r="A37" s="232" t="s">
        <v>300</v>
      </c>
      <c r="B37" s="138">
        <v>5746</v>
      </c>
      <c r="C37" s="153">
        <v>87800</v>
      </c>
    </row>
    <row r="38" spans="1:3" x14ac:dyDescent="0.25">
      <c r="A38" s="232" t="s">
        <v>267</v>
      </c>
      <c r="B38" s="138">
        <v>5704</v>
      </c>
      <c r="C38" s="153">
        <v>0</v>
      </c>
    </row>
    <row r="39" spans="1:3" x14ac:dyDescent="0.25">
      <c r="A39" s="232" t="s">
        <v>202</v>
      </c>
      <c r="B39" s="138">
        <v>5581</v>
      </c>
      <c r="C39" s="153">
        <v>0</v>
      </c>
    </row>
    <row r="40" spans="1:3" x14ac:dyDescent="0.25">
      <c r="A40" s="232" t="s">
        <v>365</v>
      </c>
      <c r="B40" s="138">
        <v>5902</v>
      </c>
      <c r="C40" s="153">
        <v>0</v>
      </c>
    </row>
    <row r="41" spans="1:3" x14ac:dyDescent="0.25">
      <c r="A41" s="232" t="s">
        <v>166</v>
      </c>
      <c r="B41" s="138">
        <v>5512</v>
      </c>
      <c r="C41" s="153">
        <v>192200</v>
      </c>
    </row>
    <row r="42" spans="1:3" x14ac:dyDescent="0.25">
      <c r="A42" s="232" t="s">
        <v>120</v>
      </c>
      <c r="B42" s="138">
        <v>5424</v>
      </c>
      <c r="C42" s="153">
        <v>0</v>
      </c>
    </row>
    <row r="43" spans="1:3" x14ac:dyDescent="0.25">
      <c r="A43" s="232" t="s">
        <v>136</v>
      </c>
      <c r="B43" s="138">
        <v>5471</v>
      </c>
      <c r="C43" s="153">
        <v>0</v>
      </c>
    </row>
    <row r="44" spans="1:3" x14ac:dyDescent="0.25">
      <c r="A44" s="232" t="s">
        <v>105</v>
      </c>
      <c r="B44" s="138">
        <v>5402</v>
      </c>
      <c r="C44" s="153">
        <v>147500</v>
      </c>
    </row>
    <row r="45" spans="1:3" x14ac:dyDescent="0.25">
      <c r="A45" s="232" t="s">
        <v>121</v>
      </c>
      <c r="B45" s="138">
        <v>5425</v>
      </c>
      <c r="C45" s="153">
        <v>189800</v>
      </c>
    </row>
    <row r="46" spans="1:3" x14ac:dyDescent="0.25">
      <c r="A46" s="232" t="s">
        <v>366</v>
      </c>
      <c r="B46" s="138">
        <v>5903</v>
      </c>
      <c r="C46" s="153">
        <v>105700</v>
      </c>
    </row>
    <row r="47" spans="1:3" x14ac:dyDescent="0.25">
      <c r="A47" s="232" t="s">
        <v>364</v>
      </c>
      <c r="B47" s="138">
        <v>5892</v>
      </c>
      <c r="C47" s="153">
        <v>324400</v>
      </c>
    </row>
    <row r="48" spans="1:3" x14ac:dyDescent="0.25">
      <c r="A48" s="232" t="s">
        <v>301</v>
      </c>
      <c r="B48" s="138">
        <v>5747</v>
      </c>
      <c r="C48" s="153">
        <v>0</v>
      </c>
    </row>
    <row r="49" spans="1:3" x14ac:dyDescent="0.25">
      <c r="A49" s="232" t="s">
        <v>268</v>
      </c>
      <c r="B49" s="138">
        <v>5705</v>
      </c>
      <c r="C49" s="153">
        <v>0</v>
      </c>
    </row>
    <row r="50" spans="1:3" x14ac:dyDescent="0.25">
      <c r="A50" s="232" t="s">
        <v>186</v>
      </c>
      <c r="B50" s="138">
        <v>5551</v>
      </c>
      <c r="C50" s="153">
        <v>0</v>
      </c>
    </row>
    <row r="51" spans="1:3" x14ac:dyDescent="0.25">
      <c r="A51" s="232" t="s">
        <v>269</v>
      </c>
      <c r="B51" s="138">
        <v>5706</v>
      </c>
      <c r="C51" s="153">
        <v>0</v>
      </c>
    </row>
    <row r="52" spans="1:3" x14ac:dyDescent="0.25">
      <c r="A52" s="232" t="s">
        <v>167</v>
      </c>
      <c r="B52" s="138">
        <v>5514</v>
      </c>
      <c r="C52" s="153">
        <v>0</v>
      </c>
    </row>
    <row r="53" spans="1:3" x14ac:dyDescent="0.25">
      <c r="A53" s="232" t="s">
        <v>122</v>
      </c>
      <c r="B53" s="138">
        <v>5426</v>
      </c>
      <c r="C53" s="153">
        <v>0</v>
      </c>
    </row>
    <row r="54" spans="1:3" x14ac:dyDescent="0.25">
      <c r="A54" s="232" t="s">
        <v>249</v>
      </c>
      <c r="B54" s="138">
        <v>5661</v>
      </c>
      <c r="C54" s="153">
        <v>0</v>
      </c>
    </row>
    <row r="55" spans="1:3" x14ac:dyDescent="0.25">
      <c r="A55" s="232" t="s">
        <v>219</v>
      </c>
      <c r="B55" s="138">
        <v>5613</v>
      </c>
      <c r="C55" s="153">
        <v>0</v>
      </c>
    </row>
    <row r="56" spans="1:3" x14ac:dyDescent="0.25">
      <c r="A56" s="232" t="s">
        <v>137</v>
      </c>
      <c r="B56" s="138">
        <v>5472</v>
      </c>
      <c r="C56" s="153">
        <v>0</v>
      </c>
    </row>
    <row r="57" spans="1:3" x14ac:dyDescent="0.25">
      <c r="A57" s="232" t="s">
        <v>138</v>
      </c>
      <c r="B57" s="138">
        <v>5473</v>
      </c>
      <c r="C57" s="153">
        <v>0</v>
      </c>
    </row>
    <row r="58" spans="1:3" x14ac:dyDescent="0.25">
      <c r="A58" s="232" t="s">
        <v>221</v>
      </c>
      <c r="B58" s="138">
        <v>5622</v>
      </c>
      <c r="C58" s="153">
        <v>0</v>
      </c>
    </row>
    <row r="59" spans="1:3" x14ac:dyDescent="0.25">
      <c r="A59" s="232" t="s">
        <v>168</v>
      </c>
      <c r="B59" s="138">
        <v>5515</v>
      </c>
      <c r="C59" s="153">
        <v>6500</v>
      </c>
    </row>
    <row r="60" spans="1:3" x14ac:dyDescent="0.25">
      <c r="A60" s="232" t="s">
        <v>302</v>
      </c>
      <c r="B60" s="138">
        <v>5748</v>
      </c>
      <c r="C60" s="153">
        <v>0</v>
      </c>
    </row>
    <row r="61" spans="1:3" x14ac:dyDescent="0.25">
      <c r="A61" s="232" t="s">
        <v>222</v>
      </c>
      <c r="B61" s="138">
        <v>5623</v>
      </c>
      <c r="C61" s="153">
        <v>0</v>
      </c>
    </row>
    <row r="62" spans="1:3" x14ac:dyDescent="0.25">
      <c r="A62" s="232" t="s">
        <v>187</v>
      </c>
      <c r="B62" s="138">
        <v>5552</v>
      </c>
      <c r="C62" s="153">
        <v>0</v>
      </c>
    </row>
    <row r="63" spans="1:3" x14ac:dyDescent="0.25">
      <c r="A63" s="232" t="s">
        <v>341</v>
      </c>
      <c r="B63" s="138">
        <v>5852</v>
      </c>
      <c r="C63" s="153">
        <v>0</v>
      </c>
    </row>
    <row r="64" spans="1:3" x14ac:dyDescent="0.25">
      <c r="A64" s="232" t="s">
        <v>342</v>
      </c>
      <c r="B64" s="138">
        <v>5853</v>
      </c>
      <c r="C64" s="153">
        <v>0</v>
      </c>
    </row>
    <row r="65" spans="1:3" x14ac:dyDescent="0.25">
      <c r="A65" s="232" t="s">
        <v>343</v>
      </c>
      <c r="B65" s="138">
        <v>5854</v>
      </c>
      <c r="C65" s="153">
        <v>0</v>
      </c>
    </row>
    <row r="66" spans="1:3" x14ac:dyDescent="0.25">
      <c r="A66" s="232" t="s">
        <v>223</v>
      </c>
      <c r="B66" s="138">
        <v>5624</v>
      </c>
      <c r="C66" s="153">
        <v>0</v>
      </c>
    </row>
    <row r="67" spans="1:3" x14ac:dyDescent="0.25">
      <c r="A67" s="232" t="s">
        <v>250</v>
      </c>
      <c r="B67" s="138">
        <v>5663</v>
      </c>
      <c r="C67" s="153">
        <v>18300</v>
      </c>
    </row>
    <row r="68" spans="1:3" x14ac:dyDescent="0.25">
      <c r="A68" s="232" t="s">
        <v>367</v>
      </c>
      <c r="B68" s="138">
        <v>5904</v>
      </c>
      <c r="C68" s="153">
        <v>0</v>
      </c>
    </row>
    <row r="69" spans="1:3" x14ac:dyDescent="0.25">
      <c r="A69" s="232" t="s">
        <v>188</v>
      </c>
      <c r="B69" s="138">
        <v>5553</v>
      </c>
      <c r="C69" s="153">
        <v>56900</v>
      </c>
    </row>
    <row r="70" spans="1:3" x14ac:dyDescent="0.25">
      <c r="A70" s="232" t="s">
        <v>328</v>
      </c>
      <c r="B70" s="138">
        <v>5812</v>
      </c>
      <c r="C70" s="153">
        <v>5200</v>
      </c>
    </row>
    <row r="71" spans="1:3" x14ac:dyDescent="0.25">
      <c r="A71" s="232" t="s">
        <v>368</v>
      </c>
      <c r="B71" s="138">
        <v>5905</v>
      </c>
      <c r="C71" s="153">
        <v>0</v>
      </c>
    </row>
    <row r="72" spans="1:3" x14ac:dyDescent="0.25">
      <c r="A72" s="232" t="s">
        <v>356</v>
      </c>
      <c r="B72" s="138">
        <v>5882</v>
      </c>
      <c r="C72" s="153">
        <v>0</v>
      </c>
    </row>
    <row r="73" spans="1:3" x14ac:dyDescent="0.25">
      <c r="A73" s="232" t="s">
        <v>101</v>
      </c>
      <c r="B73" s="138">
        <v>5841</v>
      </c>
      <c r="C73" s="153">
        <v>170200</v>
      </c>
    </row>
    <row r="74" spans="1:3" x14ac:dyDescent="0.25">
      <c r="A74" s="232" t="s">
        <v>270</v>
      </c>
      <c r="B74" s="138">
        <v>5707</v>
      </c>
      <c r="C74" s="153">
        <v>0</v>
      </c>
    </row>
    <row r="75" spans="1:3" x14ac:dyDescent="0.25">
      <c r="A75" s="232" t="s">
        <v>271</v>
      </c>
      <c r="B75" s="138">
        <v>5708</v>
      </c>
      <c r="C75" s="153">
        <v>0</v>
      </c>
    </row>
    <row r="76" spans="1:3" x14ac:dyDescent="0.25">
      <c r="A76" s="232" t="s">
        <v>369</v>
      </c>
      <c r="B76" s="138">
        <v>5907</v>
      </c>
      <c r="C76" s="153">
        <v>27800</v>
      </c>
    </row>
    <row r="77" spans="1:3" x14ac:dyDescent="0.25">
      <c r="A77" s="232" t="s">
        <v>140</v>
      </c>
      <c r="B77" s="138">
        <v>5475</v>
      </c>
      <c r="C77" s="153">
        <v>18100</v>
      </c>
    </row>
    <row r="78" spans="1:3" x14ac:dyDescent="0.25">
      <c r="A78" s="232" t="s">
        <v>224</v>
      </c>
      <c r="B78" s="138">
        <v>5627</v>
      </c>
      <c r="C78" s="153">
        <v>0</v>
      </c>
    </row>
    <row r="79" spans="1:3" x14ac:dyDescent="0.25">
      <c r="A79" s="232" t="s">
        <v>251</v>
      </c>
      <c r="B79" s="138">
        <v>5665</v>
      </c>
      <c r="C79" s="153">
        <v>0</v>
      </c>
    </row>
    <row r="80" spans="1:3" x14ac:dyDescent="0.25">
      <c r="A80" s="232" t="s">
        <v>303</v>
      </c>
      <c r="B80" s="138">
        <v>5749</v>
      </c>
      <c r="C80" s="153">
        <v>0</v>
      </c>
    </row>
    <row r="81" spans="1:3" x14ac:dyDescent="0.25">
      <c r="A81" s="232" t="s">
        <v>370</v>
      </c>
      <c r="B81" s="138">
        <v>5908</v>
      </c>
      <c r="C81" s="153">
        <v>0</v>
      </c>
    </row>
    <row r="82" spans="1:3" x14ac:dyDescent="0.25">
      <c r="A82" s="232" t="s">
        <v>371</v>
      </c>
      <c r="B82" s="138">
        <v>5909</v>
      </c>
      <c r="C82" s="153">
        <v>0</v>
      </c>
    </row>
    <row r="83" spans="1:3" x14ac:dyDescent="0.25">
      <c r="A83" s="232" t="s">
        <v>203</v>
      </c>
      <c r="B83" s="138">
        <v>5582</v>
      </c>
      <c r="C83" s="153">
        <v>0</v>
      </c>
    </row>
    <row r="84" spans="1:3" x14ac:dyDescent="0.25">
      <c r="A84" s="232" t="s">
        <v>272</v>
      </c>
      <c r="B84" s="138">
        <v>5709</v>
      </c>
      <c r="C84" s="153">
        <v>0</v>
      </c>
    </row>
    <row r="85" spans="1:3" x14ac:dyDescent="0.25">
      <c r="A85" s="232" t="s">
        <v>106</v>
      </c>
      <c r="B85" s="138">
        <v>5403</v>
      </c>
      <c r="C85" s="153">
        <v>0</v>
      </c>
    </row>
    <row r="86" spans="1:3" x14ac:dyDescent="0.25">
      <c r="A86" s="232" t="s">
        <v>141</v>
      </c>
      <c r="B86" s="138">
        <v>5476</v>
      </c>
      <c r="C86" s="153">
        <v>0</v>
      </c>
    </row>
    <row r="87" spans="1:3" x14ac:dyDescent="0.25">
      <c r="A87" s="232" t="s">
        <v>329</v>
      </c>
      <c r="B87" s="138">
        <v>5813</v>
      </c>
      <c r="C87" s="153">
        <v>0</v>
      </c>
    </row>
    <row r="88" spans="1:3" x14ac:dyDescent="0.25">
      <c r="A88" s="232" t="s">
        <v>212</v>
      </c>
      <c r="B88" s="138">
        <v>5601</v>
      </c>
      <c r="C88" s="153">
        <v>0</v>
      </c>
    </row>
    <row r="89" spans="1:3" x14ac:dyDescent="0.25">
      <c r="A89" s="232" t="s">
        <v>225</v>
      </c>
      <c r="B89" s="138">
        <v>5628</v>
      </c>
      <c r="C89" s="153">
        <v>0</v>
      </c>
    </row>
    <row r="90" spans="1:3" x14ac:dyDescent="0.25">
      <c r="A90" s="232" t="s">
        <v>226</v>
      </c>
      <c r="B90" s="138">
        <v>5629</v>
      </c>
      <c r="C90" s="153">
        <v>25400</v>
      </c>
    </row>
    <row r="91" spans="1:3" x14ac:dyDescent="0.25">
      <c r="A91" s="232" t="s">
        <v>273</v>
      </c>
      <c r="B91" s="138">
        <v>5710</v>
      </c>
      <c r="C91" s="153">
        <v>0</v>
      </c>
    </row>
    <row r="92" spans="1:3" x14ac:dyDescent="0.25">
      <c r="A92" s="232" t="s">
        <v>274</v>
      </c>
      <c r="B92" s="138">
        <v>5711</v>
      </c>
      <c r="C92" s="153">
        <v>0</v>
      </c>
    </row>
    <row r="93" spans="1:3" x14ac:dyDescent="0.25">
      <c r="A93" s="232" t="s">
        <v>189</v>
      </c>
      <c r="B93" s="138">
        <v>5554</v>
      </c>
      <c r="C93" s="153">
        <v>24600</v>
      </c>
    </row>
    <row r="94" spans="1:3" x14ac:dyDescent="0.25">
      <c r="A94" s="232" t="s">
        <v>275</v>
      </c>
      <c r="B94" s="138">
        <v>5712</v>
      </c>
      <c r="C94" s="153">
        <v>0</v>
      </c>
    </row>
    <row r="95" spans="1:3" x14ac:dyDescent="0.25">
      <c r="A95" s="232" t="s">
        <v>107</v>
      </c>
      <c r="B95" s="138">
        <v>5404</v>
      </c>
      <c r="C95" s="153">
        <v>0</v>
      </c>
    </row>
    <row r="96" spans="1:3" x14ac:dyDescent="0.25">
      <c r="A96" s="232" t="s">
        <v>319</v>
      </c>
      <c r="B96" s="138">
        <v>5785</v>
      </c>
      <c r="C96" s="153">
        <v>0</v>
      </c>
    </row>
    <row r="97" spans="1:3" x14ac:dyDescent="0.25">
      <c r="A97" s="232" t="s">
        <v>190</v>
      </c>
      <c r="B97" s="138">
        <v>5555</v>
      </c>
      <c r="C97" s="153">
        <v>68700</v>
      </c>
    </row>
    <row r="98" spans="1:3" x14ac:dyDescent="0.25">
      <c r="A98" s="232" t="s">
        <v>330</v>
      </c>
      <c r="B98" s="138">
        <v>5816</v>
      </c>
      <c r="C98" s="153">
        <v>0</v>
      </c>
    </row>
    <row r="99" spans="1:3" x14ac:dyDescent="0.25">
      <c r="A99" s="232" t="s">
        <v>357</v>
      </c>
      <c r="B99" s="138">
        <v>5883</v>
      </c>
      <c r="C99" s="153">
        <v>0</v>
      </c>
    </row>
    <row r="100" spans="1:3" x14ac:dyDescent="0.25">
      <c r="A100" s="232" t="s">
        <v>358</v>
      </c>
      <c r="B100" s="138">
        <v>5884</v>
      </c>
      <c r="C100" s="153">
        <v>0</v>
      </c>
    </row>
    <row r="101" spans="1:3" x14ac:dyDescent="0.25">
      <c r="A101" s="232" t="s">
        <v>142</v>
      </c>
      <c r="B101" s="138">
        <v>5477</v>
      </c>
      <c r="C101" s="153">
        <v>194400</v>
      </c>
    </row>
    <row r="102" spans="1:3" x14ac:dyDescent="0.25">
      <c r="A102" s="232" t="s">
        <v>276</v>
      </c>
      <c r="B102" s="138">
        <v>5713</v>
      </c>
      <c r="C102" s="153">
        <v>0</v>
      </c>
    </row>
    <row r="103" spans="1:3" x14ac:dyDescent="0.25">
      <c r="A103" s="232" t="s">
        <v>277</v>
      </c>
      <c r="B103" s="138">
        <v>5714</v>
      </c>
      <c r="C103" s="153">
        <v>0</v>
      </c>
    </row>
    <row r="104" spans="1:3" x14ac:dyDescent="0.25">
      <c r="A104" s="232" t="s">
        <v>204</v>
      </c>
      <c r="B104" s="138">
        <v>5583</v>
      </c>
      <c r="C104" s="153">
        <v>0</v>
      </c>
    </row>
    <row r="105" spans="1:3" x14ac:dyDescent="0.25">
      <c r="A105" s="232" t="s">
        <v>372</v>
      </c>
      <c r="B105" s="138">
        <v>5910</v>
      </c>
      <c r="C105" s="153">
        <v>0</v>
      </c>
    </row>
    <row r="106" spans="1:3" x14ac:dyDescent="0.25">
      <c r="A106" s="232" t="s">
        <v>305</v>
      </c>
      <c r="B106" s="138">
        <v>5752</v>
      </c>
      <c r="C106" s="153">
        <v>94500</v>
      </c>
    </row>
    <row r="107" spans="1:3" x14ac:dyDescent="0.25">
      <c r="A107" s="232" t="s">
        <v>143</v>
      </c>
      <c r="B107" s="138">
        <v>5479</v>
      </c>
      <c r="C107" s="153">
        <v>183700</v>
      </c>
    </row>
    <row r="108" spans="1:3" x14ac:dyDescent="0.25">
      <c r="A108" s="232" t="s">
        <v>373</v>
      </c>
      <c r="B108" s="138">
        <v>5911</v>
      </c>
      <c r="C108" s="153">
        <v>0</v>
      </c>
    </row>
    <row r="109" spans="1:3" x14ac:dyDescent="0.25">
      <c r="A109" s="232" t="s">
        <v>133</v>
      </c>
      <c r="B109" s="138">
        <v>5456</v>
      </c>
      <c r="C109" s="153">
        <v>0</v>
      </c>
    </row>
    <row r="110" spans="1:3" x14ac:dyDescent="0.25">
      <c r="A110" s="232" t="s">
        <v>169</v>
      </c>
      <c r="B110" s="138">
        <v>5516</v>
      </c>
      <c r="C110" s="153">
        <v>24100</v>
      </c>
    </row>
    <row r="111" spans="1:3" x14ac:dyDescent="0.25">
      <c r="A111" s="232" t="s">
        <v>252</v>
      </c>
      <c r="B111" s="138">
        <v>5669</v>
      </c>
      <c r="C111" s="153">
        <v>0</v>
      </c>
    </row>
    <row r="112" spans="1:3" x14ac:dyDescent="0.25">
      <c r="A112" s="232" t="s">
        <v>144</v>
      </c>
      <c r="B112" s="138">
        <v>5480</v>
      </c>
      <c r="C112" s="153">
        <v>0</v>
      </c>
    </row>
    <row r="113" spans="1:3" x14ac:dyDescent="0.25">
      <c r="A113" s="232" t="s">
        <v>374</v>
      </c>
      <c r="B113" s="138">
        <v>5912</v>
      </c>
      <c r="C113" s="153">
        <v>0</v>
      </c>
    </row>
    <row r="114" spans="1:3" x14ac:dyDescent="0.25">
      <c r="A114" s="232" t="s">
        <v>227</v>
      </c>
      <c r="B114" s="138">
        <v>5631</v>
      </c>
      <c r="C114" s="153">
        <v>0</v>
      </c>
    </row>
    <row r="115" spans="1:3" x14ac:dyDescent="0.25">
      <c r="A115" s="232" t="s">
        <v>228</v>
      </c>
      <c r="B115" s="138">
        <v>5632</v>
      </c>
      <c r="C115" s="153">
        <v>0</v>
      </c>
    </row>
    <row r="116" spans="1:3" x14ac:dyDescent="0.25">
      <c r="A116" s="232" t="s">
        <v>145</v>
      </c>
      <c r="B116" s="138">
        <v>5481</v>
      </c>
      <c r="C116" s="153">
        <v>0</v>
      </c>
    </row>
    <row r="117" spans="1:3" x14ac:dyDescent="0.25">
      <c r="A117" s="232" t="s">
        <v>253</v>
      </c>
      <c r="B117" s="138">
        <v>5671</v>
      </c>
      <c r="C117" s="153">
        <v>25700</v>
      </c>
    </row>
    <row r="118" spans="1:3" x14ac:dyDescent="0.25">
      <c r="A118" s="232" t="s">
        <v>375</v>
      </c>
      <c r="B118" s="138">
        <v>5913</v>
      </c>
      <c r="C118" s="153">
        <v>0</v>
      </c>
    </row>
    <row r="119" spans="1:3" x14ac:dyDescent="0.25">
      <c r="A119" s="232" t="s">
        <v>278</v>
      </c>
      <c r="B119" s="138">
        <v>5715</v>
      </c>
      <c r="C119" s="153">
        <v>0</v>
      </c>
    </row>
    <row r="120" spans="1:3" x14ac:dyDescent="0.25">
      <c r="A120" s="232" t="s">
        <v>344</v>
      </c>
      <c r="B120" s="138">
        <v>5855</v>
      </c>
      <c r="C120" s="153">
        <v>0</v>
      </c>
    </row>
    <row r="121" spans="1:3" x14ac:dyDescent="0.25">
      <c r="A121" s="232" t="s">
        <v>170</v>
      </c>
      <c r="B121" s="138">
        <v>5518</v>
      </c>
      <c r="C121" s="153">
        <v>385500</v>
      </c>
    </row>
    <row r="122" spans="1:3" x14ac:dyDescent="0.25">
      <c r="A122" s="232" t="s">
        <v>229</v>
      </c>
      <c r="B122" s="138">
        <v>5633</v>
      </c>
      <c r="C122" s="153">
        <v>0</v>
      </c>
    </row>
    <row r="123" spans="1:3" x14ac:dyDescent="0.25">
      <c r="A123" s="232" t="s">
        <v>230</v>
      </c>
      <c r="B123" s="138">
        <v>5634</v>
      </c>
      <c r="C123" s="153">
        <v>0</v>
      </c>
    </row>
    <row r="124" spans="1:3" x14ac:dyDescent="0.25">
      <c r="A124" s="232" t="s">
        <v>146</v>
      </c>
      <c r="B124" s="138">
        <v>5482</v>
      </c>
      <c r="C124" s="153">
        <v>0</v>
      </c>
    </row>
    <row r="125" spans="1:3" x14ac:dyDescent="0.25">
      <c r="A125" s="232" t="s">
        <v>231</v>
      </c>
      <c r="B125" s="138">
        <v>5635</v>
      </c>
      <c r="C125" s="153">
        <v>0</v>
      </c>
    </row>
    <row r="126" spans="1:3" x14ac:dyDescent="0.25">
      <c r="A126" s="232" t="s">
        <v>205</v>
      </c>
      <c r="B126" s="138">
        <v>5584</v>
      </c>
      <c r="C126" s="153">
        <v>334500</v>
      </c>
    </row>
    <row r="127" spans="1:3" x14ac:dyDescent="0.25">
      <c r="A127" s="232" t="s">
        <v>376</v>
      </c>
      <c r="B127" s="138">
        <v>5914</v>
      </c>
      <c r="C127" s="153">
        <v>0</v>
      </c>
    </row>
    <row r="128" spans="1:3" x14ac:dyDescent="0.25">
      <c r="A128" s="232" t="s">
        <v>345</v>
      </c>
      <c r="B128" s="138">
        <v>5856</v>
      </c>
      <c r="C128" s="153">
        <v>0</v>
      </c>
    </row>
    <row r="129" spans="1:3" x14ac:dyDescent="0.25">
      <c r="A129" s="232" t="s">
        <v>171</v>
      </c>
      <c r="B129" s="138">
        <v>5520</v>
      </c>
      <c r="C129" s="153">
        <v>0</v>
      </c>
    </row>
    <row r="130" spans="1:3" x14ac:dyDescent="0.25">
      <c r="A130" s="232" t="s">
        <v>172</v>
      </c>
      <c r="B130" s="138">
        <v>5521</v>
      </c>
      <c r="C130" s="153">
        <v>0</v>
      </c>
    </row>
    <row r="131" spans="1:3" x14ac:dyDescent="0.25">
      <c r="A131" s="232" t="s">
        <v>232</v>
      </c>
      <c r="B131" s="138">
        <v>5636</v>
      </c>
      <c r="C131" s="153">
        <v>0</v>
      </c>
    </row>
    <row r="132" spans="1:3" x14ac:dyDescent="0.25">
      <c r="A132" s="232" t="s">
        <v>279</v>
      </c>
      <c r="B132" s="138">
        <v>5716</v>
      </c>
      <c r="C132" s="153">
        <v>0</v>
      </c>
    </row>
    <row r="133" spans="1:3" x14ac:dyDescent="0.25">
      <c r="A133" s="232" t="s">
        <v>134</v>
      </c>
      <c r="B133" s="138">
        <v>5458</v>
      </c>
      <c r="C133" s="153">
        <v>0</v>
      </c>
    </row>
    <row r="134" spans="1:3" x14ac:dyDescent="0.25">
      <c r="A134" s="232" t="s">
        <v>123</v>
      </c>
      <c r="B134" s="138">
        <v>5427</v>
      </c>
      <c r="C134" s="153">
        <v>0</v>
      </c>
    </row>
    <row r="135" spans="1:3" x14ac:dyDescent="0.25">
      <c r="A135" s="232" t="s">
        <v>147</v>
      </c>
      <c r="B135" s="138">
        <v>5483</v>
      </c>
      <c r="C135" s="153">
        <v>0</v>
      </c>
    </row>
    <row r="136" spans="1:3" x14ac:dyDescent="0.25">
      <c r="A136" s="232" t="s">
        <v>173</v>
      </c>
      <c r="B136" s="138">
        <v>5522</v>
      </c>
      <c r="C136" s="153">
        <v>0</v>
      </c>
    </row>
    <row r="137" spans="1:3" x14ac:dyDescent="0.25">
      <c r="A137" s="232" t="s">
        <v>191</v>
      </c>
      <c r="B137" s="138">
        <v>5556</v>
      </c>
      <c r="C137" s="153">
        <v>0</v>
      </c>
    </row>
    <row r="138" spans="1:3" x14ac:dyDescent="0.25">
      <c r="A138" s="232" t="s">
        <v>192</v>
      </c>
      <c r="B138" s="138">
        <v>5557</v>
      </c>
      <c r="C138" s="153">
        <v>0</v>
      </c>
    </row>
    <row r="139" spans="1:3" x14ac:dyDescent="0.25">
      <c r="A139" s="232" t="s">
        <v>213</v>
      </c>
      <c r="B139" s="138">
        <v>5604</v>
      </c>
      <c r="C139" s="153">
        <v>49200</v>
      </c>
    </row>
    <row r="140" spans="1:3" x14ac:dyDescent="0.25">
      <c r="A140" s="232" t="s">
        <v>280</v>
      </c>
      <c r="B140" s="138">
        <v>5717</v>
      </c>
      <c r="C140" s="153">
        <v>0</v>
      </c>
    </row>
    <row r="141" spans="1:3" x14ac:dyDescent="0.25">
      <c r="A141" s="232" t="s">
        <v>174</v>
      </c>
      <c r="B141" s="138">
        <v>5523</v>
      </c>
      <c r="C141" s="153">
        <v>0</v>
      </c>
    </row>
    <row r="142" spans="1:3" x14ac:dyDescent="0.25">
      <c r="A142" s="232" t="s">
        <v>281</v>
      </c>
      <c r="B142" s="138">
        <v>5718</v>
      </c>
      <c r="C142" s="153">
        <v>0</v>
      </c>
    </row>
    <row r="143" spans="1:3" x14ac:dyDescent="0.25">
      <c r="A143" s="232" t="s">
        <v>193</v>
      </c>
      <c r="B143" s="138">
        <v>5559</v>
      </c>
      <c r="C143" s="153">
        <v>0</v>
      </c>
    </row>
    <row r="144" spans="1:3" x14ac:dyDescent="0.25">
      <c r="A144" s="232" t="s">
        <v>346</v>
      </c>
      <c r="B144" s="138">
        <v>5857</v>
      </c>
      <c r="C144" s="153">
        <v>0</v>
      </c>
    </row>
    <row r="145" spans="1:3" x14ac:dyDescent="0.25">
      <c r="A145" s="232" t="s">
        <v>124</v>
      </c>
      <c r="B145" s="138">
        <v>5428</v>
      </c>
      <c r="C145" s="153">
        <v>82700</v>
      </c>
    </row>
    <row r="146" spans="1:3" x14ac:dyDescent="0.25">
      <c r="A146" s="232" t="s">
        <v>282</v>
      </c>
      <c r="B146" s="138">
        <v>5719</v>
      </c>
      <c r="C146" s="153">
        <v>0</v>
      </c>
    </row>
    <row r="147" spans="1:3" x14ac:dyDescent="0.25">
      <c r="A147" s="232" t="s">
        <v>283</v>
      </c>
      <c r="B147" s="138">
        <v>5720</v>
      </c>
      <c r="C147" s="153">
        <v>0</v>
      </c>
    </row>
    <row r="148" spans="1:3" x14ac:dyDescent="0.25">
      <c r="A148" s="232" t="s">
        <v>284</v>
      </c>
      <c r="B148" s="138">
        <v>5721</v>
      </c>
      <c r="C148" s="153">
        <v>0</v>
      </c>
    </row>
    <row r="149" spans="1:3" x14ac:dyDescent="0.25">
      <c r="A149" s="232" t="s">
        <v>148</v>
      </c>
      <c r="B149" s="138">
        <v>5484</v>
      </c>
      <c r="C149" s="153">
        <v>136100</v>
      </c>
    </row>
    <row r="150" spans="1:3" x14ac:dyDescent="0.25">
      <c r="A150" s="232" t="s">
        <v>185</v>
      </c>
      <c r="B150" s="138">
        <v>5541</v>
      </c>
      <c r="C150" s="153">
        <v>0</v>
      </c>
    </row>
    <row r="151" spans="1:3" x14ac:dyDescent="0.25">
      <c r="A151" s="232" t="s">
        <v>149</v>
      </c>
      <c r="B151" s="138">
        <v>5485</v>
      </c>
      <c r="C151" s="153">
        <v>0</v>
      </c>
    </row>
    <row r="152" spans="1:3" x14ac:dyDescent="0.25">
      <c r="A152" s="232" t="s">
        <v>331</v>
      </c>
      <c r="B152" s="138">
        <v>5817</v>
      </c>
      <c r="C152" s="153">
        <v>0</v>
      </c>
    </row>
    <row r="153" spans="1:3" x14ac:dyDescent="0.25">
      <c r="A153" s="232" t="s">
        <v>194</v>
      </c>
      <c r="B153" s="138">
        <v>5560</v>
      </c>
      <c r="C153" s="153">
        <v>0</v>
      </c>
    </row>
    <row r="154" spans="1:3" x14ac:dyDescent="0.25">
      <c r="A154" s="232" t="s">
        <v>195</v>
      </c>
      <c r="B154" s="138">
        <v>5561</v>
      </c>
      <c r="C154" s="153">
        <v>407600</v>
      </c>
    </row>
    <row r="155" spans="1:3" x14ac:dyDescent="0.25">
      <c r="A155" s="232" t="s">
        <v>285</v>
      </c>
      <c r="B155" s="138">
        <v>5722</v>
      </c>
      <c r="C155" s="153">
        <v>0</v>
      </c>
    </row>
    <row r="156" spans="1:3" x14ac:dyDescent="0.25">
      <c r="A156" s="232" t="s">
        <v>108</v>
      </c>
      <c r="B156" s="138">
        <v>5405</v>
      </c>
      <c r="C156" s="153">
        <v>128800</v>
      </c>
    </row>
    <row r="157" spans="1:3" x14ac:dyDescent="0.25">
      <c r="A157" s="232" t="s">
        <v>248</v>
      </c>
      <c r="B157" s="138">
        <v>5656</v>
      </c>
      <c r="C157" s="153">
        <v>157000</v>
      </c>
    </row>
    <row r="158" spans="1:3" x14ac:dyDescent="0.25">
      <c r="A158" s="232" t="s">
        <v>332</v>
      </c>
      <c r="B158" s="138">
        <v>5819</v>
      </c>
      <c r="C158" s="153">
        <v>0</v>
      </c>
    </row>
    <row r="159" spans="1:3" x14ac:dyDescent="0.25">
      <c r="A159" s="232" t="s">
        <v>254</v>
      </c>
      <c r="B159" s="138">
        <v>5673</v>
      </c>
      <c r="C159" s="153">
        <v>3700</v>
      </c>
    </row>
    <row r="160" spans="1:3" x14ac:dyDescent="0.25">
      <c r="A160" s="232" t="s">
        <v>359</v>
      </c>
      <c r="B160" s="138">
        <v>5885</v>
      </c>
      <c r="C160" s="153">
        <v>0</v>
      </c>
    </row>
    <row r="161" spans="1:3" x14ac:dyDescent="0.25">
      <c r="A161" s="232" t="s">
        <v>325</v>
      </c>
      <c r="B161" s="138">
        <v>5804</v>
      </c>
      <c r="C161" s="153">
        <v>113200</v>
      </c>
    </row>
    <row r="162" spans="1:3" x14ac:dyDescent="0.25">
      <c r="A162" s="232" t="s">
        <v>327</v>
      </c>
      <c r="B162" s="138">
        <v>5806</v>
      </c>
      <c r="C162" s="153">
        <v>136700</v>
      </c>
    </row>
    <row r="163" spans="1:3" x14ac:dyDescent="0.25">
      <c r="A163" s="232" t="s">
        <v>206</v>
      </c>
      <c r="B163" s="138">
        <v>5585</v>
      </c>
      <c r="C163" s="153">
        <v>0</v>
      </c>
    </row>
    <row r="164" spans="1:3" x14ac:dyDescent="0.25">
      <c r="A164" s="232" t="s">
        <v>306</v>
      </c>
      <c r="B164" s="138">
        <v>5754</v>
      </c>
      <c r="C164" s="153">
        <v>0</v>
      </c>
    </row>
    <row r="165" spans="1:3" x14ac:dyDescent="0.25">
      <c r="A165" s="232" t="s">
        <v>139</v>
      </c>
      <c r="B165" s="138">
        <v>5474</v>
      </c>
      <c r="C165" s="153">
        <v>40700</v>
      </c>
    </row>
    <row r="166" spans="1:3" x14ac:dyDescent="0.25">
      <c r="A166" s="232" t="s">
        <v>310</v>
      </c>
      <c r="B166" s="138">
        <v>5758</v>
      </c>
      <c r="C166" s="153">
        <v>0</v>
      </c>
    </row>
    <row r="167" spans="1:3" x14ac:dyDescent="0.25">
      <c r="A167" s="232" t="s">
        <v>288</v>
      </c>
      <c r="B167" s="138">
        <v>5726</v>
      </c>
      <c r="C167" s="153">
        <v>0</v>
      </c>
    </row>
    <row r="168" spans="1:3" x14ac:dyDescent="0.25">
      <c r="A168" s="232" t="s">
        <v>161</v>
      </c>
      <c r="B168" s="138">
        <v>5498</v>
      </c>
      <c r="C168" s="153">
        <v>39500</v>
      </c>
    </row>
    <row r="169" spans="1:3" x14ac:dyDescent="0.25">
      <c r="A169" s="232" t="s">
        <v>361</v>
      </c>
      <c r="B169" s="138">
        <v>5889</v>
      </c>
      <c r="C169" s="153">
        <v>0</v>
      </c>
    </row>
    <row r="170" spans="1:3" x14ac:dyDescent="0.25">
      <c r="A170" s="232" t="s">
        <v>353</v>
      </c>
      <c r="B170" s="138">
        <v>5871</v>
      </c>
      <c r="C170" s="153">
        <v>0</v>
      </c>
    </row>
    <row r="171" spans="1:3" x14ac:dyDescent="0.25">
      <c r="A171" s="232" t="s">
        <v>295</v>
      </c>
      <c r="B171" s="138">
        <v>5741</v>
      </c>
      <c r="C171" s="153">
        <v>15300</v>
      </c>
    </row>
    <row r="172" spans="1:3" x14ac:dyDescent="0.25">
      <c r="A172" s="232" t="s">
        <v>69</v>
      </c>
      <c r="B172" s="138">
        <v>5586</v>
      </c>
      <c r="C172" s="153">
        <v>0</v>
      </c>
    </row>
    <row r="173" spans="1:3" x14ac:dyDescent="0.25">
      <c r="A173" s="232" t="s">
        <v>109</v>
      </c>
      <c r="B173" s="138">
        <v>5406</v>
      </c>
      <c r="C173" s="153">
        <v>0</v>
      </c>
    </row>
    <row r="174" spans="1:3" x14ac:dyDescent="0.25">
      <c r="A174" s="232" t="s">
        <v>233</v>
      </c>
      <c r="B174" s="138">
        <v>5637</v>
      </c>
      <c r="C174" s="153">
        <v>400</v>
      </c>
    </row>
    <row r="175" spans="1:3" x14ac:dyDescent="0.25">
      <c r="A175" s="232" t="s">
        <v>354</v>
      </c>
      <c r="B175" s="138">
        <v>5872</v>
      </c>
      <c r="C175" s="153">
        <v>61200</v>
      </c>
    </row>
    <row r="176" spans="1:3" x14ac:dyDescent="0.25">
      <c r="A176" s="232" t="s">
        <v>355</v>
      </c>
      <c r="B176" s="138">
        <v>5873</v>
      </c>
      <c r="C176" s="153">
        <v>288100</v>
      </c>
    </row>
    <row r="177" spans="1:3" x14ac:dyDescent="0.25">
      <c r="A177" s="232" t="s">
        <v>70</v>
      </c>
      <c r="B177" s="138">
        <v>5587</v>
      </c>
      <c r="C177" s="153">
        <v>582300</v>
      </c>
    </row>
    <row r="178" spans="1:3" x14ac:dyDescent="0.25">
      <c r="A178" s="232" t="s">
        <v>293</v>
      </c>
      <c r="B178" s="138">
        <v>5731</v>
      </c>
      <c r="C178" s="153">
        <v>0</v>
      </c>
    </row>
    <row r="179" spans="1:3" x14ac:dyDescent="0.25">
      <c r="A179" s="232" t="s">
        <v>304</v>
      </c>
      <c r="B179" s="138">
        <v>5750</v>
      </c>
      <c r="C179" s="153">
        <v>0</v>
      </c>
    </row>
    <row r="180" spans="1:3" x14ac:dyDescent="0.25">
      <c r="A180" s="232" t="s">
        <v>110</v>
      </c>
      <c r="B180" s="138">
        <v>5407</v>
      </c>
      <c r="C180" s="153">
        <v>408800</v>
      </c>
    </row>
    <row r="181" spans="1:3" x14ac:dyDescent="0.25">
      <c r="A181" s="232" t="s">
        <v>307</v>
      </c>
      <c r="B181" s="138">
        <v>5755</v>
      </c>
      <c r="C181" s="153">
        <v>21900</v>
      </c>
    </row>
    <row r="182" spans="1:3" x14ac:dyDescent="0.25">
      <c r="A182" s="232" t="s">
        <v>150</v>
      </c>
      <c r="B182" s="138">
        <v>5486</v>
      </c>
      <c r="C182" s="153">
        <v>184600</v>
      </c>
    </row>
    <row r="183" spans="1:3" x14ac:dyDescent="0.25">
      <c r="A183" s="232" t="s">
        <v>234</v>
      </c>
      <c r="B183" s="138">
        <v>5638</v>
      </c>
      <c r="C183" s="153">
        <v>0</v>
      </c>
    </row>
    <row r="184" spans="1:3" x14ac:dyDescent="0.25">
      <c r="A184" s="232" t="s">
        <v>125</v>
      </c>
      <c r="B184" s="138">
        <v>5429</v>
      </c>
      <c r="C184" s="153">
        <v>0</v>
      </c>
    </row>
    <row r="185" spans="1:3" x14ac:dyDescent="0.25">
      <c r="A185" s="232" t="s">
        <v>255</v>
      </c>
      <c r="B185" s="138">
        <v>5674</v>
      </c>
      <c r="C185" s="153">
        <v>0</v>
      </c>
    </row>
    <row r="186" spans="1:3" x14ac:dyDescent="0.25">
      <c r="A186" s="232" t="s">
        <v>256</v>
      </c>
      <c r="B186" s="138">
        <v>5675</v>
      </c>
      <c r="C186" s="153">
        <v>0</v>
      </c>
    </row>
    <row r="187" spans="1:3" x14ac:dyDescent="0.25">
      <c r="A187" s="232" t="s">
        <v>347</v>
      </c>
      <c r="B187" s="138">
        <v>5858</v>
      </c>
      <c r="C187" s="153">
        <v>0</v>
      </c>
    </row>
    <row r="188" spans="1:3" x14ac:dyDescent="0.25">
      <c r="A188" s="232" t="s">
        <v>235</v>
      </c>
      <c r="B188" s="138">
        <v>5639</v>
      </c>
      <c r="C188" s="153">
        <v>0</v>
      </c>
    </row>
    <row r="189" spans="1:3" x14ac:dyDescent="0.25">
      <c r="A189" s="232" t="s">
        <v>151</v>
      </c>
      <c r="B189" s="138">
        <v>5487</v>
      </c>
      <c r="C189" s="153">
        <v>0</v>
      </c>
    </row>
    <row r="190" spans="1:3" x14ac:dyDescent="0.25">
      <c r="A190" s="232" t="s">
        <v>236</v>
      </c>
      <c r="B190" s="138">
        <v>5640</v>
      </c>
      <c r="C190" s="153">
        <v>0</v>
      </c>
    </row>
    <row r="191" spans="1:3" x14ac:dyDescent="0.25">
      <c r="A191" s="232" t="s">
        <v>214</v>
      </c>
      <c r="B191" s="138">
        <v>5606</v>
      </c>
      <c r="C191" s="153">
        <v>0</v>
      </c>
    </row>
    <row r="192" spans="1:3" x14ac:dyDescent="0.25">
      <c r="A192" s="232" t="s">
        <v>320</v>
      </c>
      <c r="B192" s="138">
        <v>5790</v>
      </c>
      <c r="C192" s="153">
        <v>1100</v>
      </c>
    </row>
    <row r="193" spans="1:3" x14ac:dyDescent="0.25">
      <c r="A193" s="232" t="s">
        <v>126</v>
      </c>
      <c r="B193" s="138">
        <v>5430</v>
      </c>
      <c r="C193" s="153">
        <v>0</v>
      </c>
    </row>
    <row r="194" spans="1:3" x14ac:dyDescent="0.25">
      <c r="A194" s="232" t="s">
        <v>377</v>
      </c>
      <c r="B194" s="138">
        <v>5919</v>
      </c>
      <c r="C194" s="153">
        <v>0</v>
      </c>
    </row>
    <row r="195" spans="1:3" x14ac:dyDescent="0.25">
      <c r="A195" s="232" t="s">
        <v>196</v>
      </c>
      <c r="B195" s="138">
        <v>5562</v>
      </c>
      <c r="C195" s="153">
        <v>0</v>
      </c>
    </row>
    <row r="196" spans="1:3" x14ac:dyDescent="0.25">
      <c r="A196" s="232" t="s">
        <v>152</v>
      </c>
      <c r="B196" s="138">
        <v>5488</v>
      </c>
      <c r="C196" s="153">
        <v>0</v>
      </c>
    </row>
    <row r="197" spans="1:3" x14ac:dyDescent="0.25">
      <c r="A197" s="232" t="s">
        <v>153</v>
      </c>
      <c r="B197" s="138">
        <v>5489</v>
      </c>
      <c r="C197" s="153">
        <v>0</v>
      </c>
    </row>
    <row r="198" spans="1:3" x14ac:dyDescent="0.25">
      <c r="A198" s="232" t="s">
        <v>286</v>
      </c>
      <c r="B198" s="138">
        <v>5723</v>
      </c>
      <c r="C198" s="153">
        <v>0</v>
      </c>
    </row>
    <row r="199" spans="1:3" x14ac:dyDescent="0.25">
      <c r="A199" s="232" t="s">
        <v>333</v>
      </c>
      <c r="B199" s="138">
        <v>5821</v>
      </c>
      <c r="C199" s="153">
        <v>0</v>
      </c>
    </row>
    <row r="200" spans="1:3" x14ac:dyDescent="0.25">
      <c r="A200" s="232" t="s">
        <v>154</v>
      </c>
      <c r="B200" s="138">
        <v>5490</v>
      </c>
      <c r="C200" s="153">
        <v>0</v>
      </c>
    </row>
    <row r="201" spans="1:3" x14ac:dyDescent="0.25">
      <c r="A201" s="232" t="s">
        <v>127</v>
      </c>
      <c r="B201" s="138">
        <v>5431</v>
      </c>
      <c r="C201" s="153">
        <v>0</v>
      </c>
    </row>
    <row r="202" spans="1:3" x14ac:dyDescent="0.25">
      <c r="A202" s="232" t="s">
        <v>378</v>
      </c>
      <c r="B202" s="138">
        <v>5921</v>
      </c>
      <c r="C202" s="153">
        <v>0</v>
      </c>
    </row>
    <row r="203" spans="1:3" x14ac:dyDescent="0.25">
      <c r="A203" s="232" t="s">
        <v>379</v>
      </c>
      <c r="B203" s="138">
        <v>5922</v>
      </c>
      <c r="C203" s="153">
        <v>0</v>
      </c>
    </row>
    <row r="204" spans="1:3" x14ac:dyDescent="0.25">
      <c r="A204" s="232" t="s">
        <v>264</v>
      </c>
      <c r="B204" s="138">
        <v>5693</v>
      </c>
      <c r="C204" s="153">
        <v>0</v>
      </c>
    </row>
    <row r="205" spans="1:3" x14ac:dyDescent="0.25">
      <c r="A205" s="232" t="s">
        <v>308</v>
      </c>
      <c r="B205" s="138">
        <v>5756</v>
      </c>
      <c r="C205" s="153">
        <v>0</v>
      </c>
    </row>
    <row r="206" spans="1:3" x14ac:dyDescent="0.25">
      <c r="A206" s="232" t="s">
        <v>184</v>
      </c>
      <c r="B206" s="138">
        <v>5540</v>
      </c>
      <c r="C206" s="153">
        <v>97100</v>
      </c>
    </row>
    <row r="207" spans="1:3" x14ac:dyDescent="0.25">
      <c r="A207" s="232" t="s">
        <v>155</v>
      </c>
      <c r="B207" s="138">
        <v>5491</v>
      </c>
      <c r="C207" s="153">
        <v>0</v>
      </c>
    </row>
    <row r="208" spans="1:3" x14ac:dyDescent="0.25">
      <c r="A208" s="232" t="s">
        <v>321</v>
      </c>
      <c r="B208" s="138">
        <v>5792</v>
      </c>
      <c r="C208" s="153">
        <v>64900</v>
      </c>
    </row>
    <row r="209" spans="1:3" x14ac:dyDescent="0.25">
      <c r="A209" s="232" t="s">
        <v>360</v>
      </c>
      <c r="B209" s="138">
        <v>5886</v>
      </c>
      <c r="C209" s="153">
        <v>0</v>
      </c>
    </row>
    <row r="210" spans="1:3" x14ac:dyDescent="0.25">
      <c r="A210" s="232" t="s">
        <v>156</v>
      </c>
      <c r="B210" s="138">
        <v>5492</v>
      </c>
      <c r="C210" s="153">
        <v>0</v>
      </c>
    </row>
    <row r="211" spans="1:3" x14ac:dyDescent="0.25">
      <c r="A211" s="232" t="s">
        <v>348</v>
      </c>
      <c r="B211" s="138">
        <v>5859</v>
      </c>
      <c r="C211" s="153">
        <v>0</v>
      </c>
    </row>
    <row r="212" spans="1:3" x14ac:dyDescent="0.25">
      <c r="A212" s="232" t="s">
        <v>67</v>
      </c>
      <c r="B212" s="138">
        <v>5642</v>
      </c>
      <c r="C212" s="153">
        <v>0</v>
      </c>
    </row>
    <row r="213" spans="1:3" x14ac:dyDescent="0.25">
      <c r="A213" s="232" t="s">
        <v>175</v>
      </c>
      <c r="B213" s="138">
        <v>5527</v>
      </c>
      <c r="C213" s="153">
        <v>0</v>
      </c>
    </row>
    <row r="214" spans="1:3" x14ac:dyDescent="0.25">
      <c r="A214" s="232" t="s">
        <v>257</v>
      </c>
      <c r="B214" s="138">
        <v>5678</v>
      </c>
      <c r="C214" s="153">
        <v>0</v>
      </c>
    </row>
    <row r="215" spans="1:3" x14ac:dyDescent="0.25">
      <c r="A215" s="232" t="s">
        <v>77</v>
      </c>
      <c r="B215" s="138">
        <v>5563</v>
      </c>
      <c r="C215" s="153">
        <v>0</v>
      </c>
    </row>
    <row r="216" spans="1:3" x14ac:dyDescent="0.25">
      <c r="A216" s="232" t="s">
        <v>197</v>
      </c>
      <c r="B216" s="138">
        <v>5564</v>
      </c>
      <c r="C216" s="153">
        <v>0</v>
      </c>
    </row>
    <row r="217" spans="1:3" x14ac:dyDescent="0.25">
      <c r="A217" s="232" t="s">
        <v>111</v>
      </c>
      <c r="B217" s="138">
        <v>5408</v>
      </c>
      <c r="C217" s="153">
        <v>24900</v>
      </c>
    </row>
    <row r="218" spans="1:3" x14ac:dyDescent="0.25">
      <c r="A218" s="232" t="s">
        <v>68</v>
      </c>
      <c r="B218" s="138">
        <v>5724</v>
      </c>
      <c r="C218" s="153">
        <v>0</v>
      </c>
    </row>
    <row r="219" spans="1:3" x14ac:dyDescent="0.25">
      <c r="A219" s="232" t="s">
        <v>258</v>
      </c>
      <c r="B219" s="138">
        <v>5680</v>
      </c>
      <c r="C219" s="153">
        <v>0</v>
      </c>
    </row>
    <row r="220" spans="1:3" x14ac:dyDescent="0.25">
      <c r="A220" s="232" t="s">
        <v>112</v>
      </c>
      <c r="B220" s="138">
        <v>5409</v>
      </c>
      <c r="C220" s="153">
        <v>0</v>
      </c>
    </row>
    <row r="221" spans="1:3" x14ac:dyDescent="0.25">
      <c r="A221" s="232" t="s">
        <v>198</v>
      </c>
      <c r="B221" s="138">
        <v>5565</v>
      </c>
      <c r="C221" s="153">
        <v>0</v>
      </c>
    </row>
    <row r="222" spans="1:3" x14ac:dyDescent="0.25">
      <c r="A222" s="232" t="s">
        <v>380</v>
      </c>
      <c r="B222" s="138">
        <v>5923</v>
      </c>
      <c r="C222" s="153">
        <v>14600</v>
      </c>
    </row>
    <row r="223" spans="1:3" x14ac:dyDescent="0.25">
      <c r="A223" s="232" t="s">
        <v>309</v>
      </c>
      <c r="B223" s="138">
        <v>5757</v>
      </c>
      <c r="C223" s="153">
        <v>1030500</v>
      </c>
    </row>
    <row r="224" spans="1:3" x14ac:dyDescent="0.25">
      <c r="A224" s="232" t="s">
        <v>381</v>
      </c>
      <c r="B224" s="138">
        <v>5924</v>
      </c>
      <c r="C224" s="153">
        <v>0</v>
      </c>
    </row>
    <row r="225" spans="1:3" x14ac:dyDescent="0.25">
      <c r="A225" s="232" t="s">
        <v>113</v>
      </c>
      <c r="B225" s="138">
        <v>5410</v>
      </c>
      <c r="C225" s="153">
        <v>0</v>
      </c>
    </row>
    <row r="226" spans="1:3" x14ac:dyDescent="0.25">
      <c r="A226" s="232" t="s">
        <v>114</v>
      </c>
      <c r="B226" s="138">
        <v>5411</v>
      </c>
      <c r="C226" s="153">
        <v>0</v>
      </c>
    </row>
    <row r="227" spans="1:3" x14ac:dyDescent="0.25">
      <c r="A227" s="232" t="s">
        <v>157</v>
      </c>
      <c r="B227" s="138">
        <v>5493</v>
      </c>
      <c r="C227" s="153">
        <v>0</v>
      </c>
    </row>
    <row r="228" spans="1:3" x14ac:dyDescent="0.25">
      <c r="A228" s="232" t="s">
        <v>326</v>
      </c>
      <c r="B228" s="138">
        <v>5805</v>
      </c>
      <c r="C228" s="153">
        <v>25500</v>
      </c>
    </row>
    <row r="229" spans="1:3" x14ac:dyDescent="0.25">
      <c r="A229" s="232" t="s">
        <v>382</v>
      </c>
      <c r="B229" s="138">
        <v>5925</v>
      </c>
      <c r="C229" s="153">
        <v>0</v>
      </c>
    </row>
    <row r="230" spans="1:3" x14ac:dyDescent="0.25">
      <c r="A230" s="232" t="s">
        <v>176</v>
      </c>
      <c r="B230" s="138">
        <v>5529</v>
      </c>
      <c r="C230" s="153">
        <v>0</v>
      </c>
    </row>
    <row r="231" spans="1:3" x14ac:dyDescent="0.25">
      <c r="A231" s="232" t="s">
        <v>177</v>
      </c>
      <c r="B231" s="138">
        <v>5530</v>
      </c>
      <c r="C231" s="153">
        <v>184300</v>
      </c>
    </row>
    <row r="232" spans="1:3" x14ac:dyDescent="0.25">
      <c r="A232" s="232" t="s">
        <v>207</v>
      </c>
      <c r="B232" s="138">
        <v>5588</v>
      </c>
      <c r="C232" s="153">
        <v>0</v>
      </c>
    </row>
    <row r="233" spans="1:3" x14ac:dyDescent="0.25">
      <c r="A233" s="232" t="s">
        <v>104</v>
      </c>
      <c r="B233" s="138">
        <v>5822</v>
      </c>
      <c r="C233" s="153">
        <v>0</v>
      </c>
    </row>
    <row r="234" spans="1:3" x14ac:dyDescent="0.25">
      <c r="A234" s="232" t="s">
        <v>158</v>
      </c>
      <c r="B234" s="138">
        <v>5495</v>
      </c>
      <c r="C234" s="153">
        <v>179200</v>
      </c>
    </row>
    <row r="235" spans="1:3" x14ac:dyDescent="0.25">
      <c r="A235" s="232" t="s">
        <v>159</v>
      </c>
      <c r="B235" s="138">
        <v>5496</v>
      </c>
      <c r="C235" s="153">
        <v>0</v>
      </c>
    </row>
    <row r="236" spans="1:3" x14ac:dyDescent="0.25">
      <c r="A236" s="232" t="s">
        <v>178</v>
      </c>
      <c r="B236" s="138">
        <v>5531</v>
      </c>
      <c r="C236" s="153">
        <v>0</v>
      </c>
    </row>
    <row r="237" spans="1:3" x14ac:dyDescent="0.25">
      <c r="A237" s="232" t="s">
        <v>349</v>
      </c>
      <c r="B237" s="138">
        <v>5860</v>
      </c>
      <c r="C237" s="153">
        <v>0</v>
      </c>
    </row>
    <row r="238" spans="1:3" x14ac:dyDescent="0.25">
      <c r="A238" s="232" t="s">
        <v>179</v>
      </c>
      <c r="B238" s="138">
        <v>5533</v>
      </c>
      <c r="C238" s="153">
        <v>0</v>
      </c>
    </row>
    <row r="239" spans="1:3" x14ac:dyDescent="0.25">
      <c r="A239" s="232" t="s">
        <v>160</v>
      </c>
      <c r="B239" s="138">
        <v>5497</v>
      </c>
      <c r="C239" s="153">
        <v>0</v>
      </c>
    </row>
    <row r="240" spans="1:3" x14ac:dyDescent="0.25">
      <c r="A240" s="232" t="s">
        <v>383</v>
      </c>
      <c r="B240" s="138">
        <v>5926</v>
      </c>
      <c r="C240" s="153">
        <v>0</v>
      </c>
    </row>
    <row r="241" spans="1:3" x14ac:dyDescent="0.25">
      <c r="A241" s="232" t="s">
        <v>287</v>
      </c>
      <c r="B241" s="138">
        <v>5725</v>
      </c>
      <c r="C241" s="153">
        <v>0</v>
      </c>
    </row>
    <row r="242" spans="1:3" x14ac:dyDescent="0.25">
      <c r="A242" s="232" t="s">
        <v>311</v>
      </c>
      <c r="B242" s="138">
        <v>5759</v>
      </c>
      <c r="C242" s="153">
        <v>0</v>
      </c>
    </row>
    <row r="243" spans="1:3" x14ac:dyDescent="0.25">
      <c r="A243" s="232" t="s">
        <v>237</v>
      </c>
      <c r="B243" s="138">
        <v>5643</v>
      </c>
      <c r="C243" s="153">
        <v>0</v>
      </c>
    </row>
    <row r="244" spans="1:3" x14ac:dyDescent="0.25">
      <c r="A244" s="232" t="s">
        <v>259</v>
      </c>
      <c r="B244" s="138">
        <v>5683</v>
      </c>
      <c r="C244" s="153">
        <v>0</v>
      </c>
    </row>
    <row r="245" spans="1:3" x14ac:dyDescent="0.25">
      <c r="A245" s="232" t="s">
        <v>208</v>
      </c>
      <c r="B245" s="138">
        <v>5589</v>
      </c>
      <c r="C245" s="153">
        <v>14300</v>
      </c>
    </row>
    <row r="246" spans="1:3" x14ac:dyDescent="0.25">
      <c r="A246" s="232" t="s">
        <v>199</v>
      </c>
      <c r="B246" s="138">
        <v>5566</v>
      </c>
      <c r="C246" s="153">
        <v>0</v>
      </c>
    </row>
    <row r="247" spans="1:3" x14ac:dyDescent="0.25">
      <c r="A247" s="232" t="s">
        <v>215</v>
      </c>
      <c r="B247" s="138">
        <v>5607</v>
      </c>
      <c r="C247" s="153">
        <v>262100</v>
      </c>
    </row>
    <row r="248" spans="1:3" x14ac:dyDescent="0.25">
      <c r="A248" s="232" t="s">
        <v>209</v>
      </c>
      <c r="B248" s="138">
        <v>5590</v>
      </c>
      <c r="C248" s="153">
        <v>0</v>
      </c>
    </row>
    <row r="249" spans="1:3" x14ac:dyDescent="0.25">
      <c r="A249" s="232" t="s">
        <v>312</v>
      </c>
      <c r="B249" s="138">
        <v>5760</v>
      </c>
      <c r="C249" s="153">
        <v>19400</v>
      </c>
    </row>
    <row r="250" spans="1:3" x14ac:dyDescent="0.25">
      <c r="A250" s="232" t="s">
        <v>210</v>
      </c>
      <c r="B250" s="138">
        <v>5591</v>
      </c>
      <c r="C250" s="153">
        <v>86300</v>
      </c>
    </row>
    <row r="251" spans="1:3" x14ac:dyDescent="0.25">
      <c r="A251" s="232" t="s">
        <v>115</v>
      </c>
      <c r="B251" s="138">
        <v>5412</v>
      </c>
      <c r="C251" s="153">
        <v>0</v>
      </c>
    </row>
    <row r="252" spans="1:3" x14ac:dyDescent="0.25">
      <c r="A252" s="232" t="s">
        <v>216</v>
      </c>
      <c r="B252" s="138">
        <v>5609</v>
      </c>
      <c r="C252" s="153">
        <v>0</v>
      </c>
    </row>
    <row r="253" spans="1:3" x14ac:dyDescent="0.25">
      <c r="A253" s="232" t="s">
        <v>116</v>
      </c>
      <c r="B253" s="138">
        <v>5413</v>
      </c>
      <c r="C253" s="153">
        <v>0</v>
      </c>
    </row>
    <row r="254" spans="1:3" x14ac:dyDescent="0.25">
      <c r="A254" s="232" t="s">
        <v>350</v>
      </c>
      <c r="B254" s="138">
        <v>5861</v>
      </c>
      <c r="C254" s="153">
        <v>0</v>
      </c>
    </row>
    <row r="255" spans="1:3" x14ac:dyDescent="0.25">
      <c r="A255" s="232" t="s">
        <v>313</v>
      </c>
      <c r="B255" s="138">
        <v>5761</v>
      </c>
      <c r="C255" s="153">
        <v>59400</v>
      </c>
    </row>
    <row r="256" spans="1:3" x14ac:dyDescent="0.25">
      <c r="A256" s="232" t="s">
        <v>211</v>
      </c>
      <c r="B256" s="138">
        <v>5592</v>
      </c>
      <c r="C256" s="153">
        <v>0</v>
      </c>
    </row>
    <row r="257" spans="1:3" x14ac:dyDescent="0.25">
      <c r="A257" s="232" t="s">
        <v>238</v>
      </c>
      <c r="B257" s="138">
        <v>5645</v>
      </c>
      <c r="C257" s="153">
        <v>0</v>
      </c>
    </row>
    <row r="258" spans="1:3" x14ac:dyDescent="0.25">
      <c r="A258" s="232" t="s">
        <v>322</v>
      </c>
      <c r="B258" s="138">
        <v>5798</v>
      </c>
      <c r="C258" s="153">
        <v>0</v>
      </c>
    </row>
    <row r="259" spans="1:3" x14ac:dyDescent="0.25">
      <c r="A259" s="232" t="s">
        <v>260</v>
      </c>
      <c r="B259" s="138">
        <v>5684</v>
      </c>
      <c r="C259" s="153">
        <v>0</v>
      </c>
    </row>
    <row r="260" spans="1:3" x14ac:dyDescent="0.25">
      <c r="A260" s="232" t="s">
        <v>338</v>
      </c>
      <c r="B260" s="138">
        <v>5842</v>
      </c>
      <c r="C260" s="153">
        <v>0</v>
      </c>
    </row>
    <row r="261" spans="1:3" x14ac:dyDescent="0.25">
      <c r="A261" s="232" t="s">
        <v>339</v>
      </c>
      <c r="B261" s="138">
        <v>5843</v>
      </c>
      <c r="C261" s="153">
        <v>0</v>
      </c>
    </row>
    <row r="262" spans="1:3" x14ac:dyDescent="0.25">
      <c r="A262" s="232" t="s">
        <v>384</v>
      </c>
      <c r="B262" s="138">
        <v>5928</v>
      </c>
      <c r="C262" s="153">
        <v>0</v>
      </c>
    </row>
    <row r="263" spans="1:3" x14ac:dyDescent="0.25">
      <c r="A263" s="232" t="s">
        <v>180</v>
      </c>
      <c r="B263" s="138">
        <v>5534</v>
      </c>
      <c r="C263" s="153">
        <v>0</v>
      </c>
    </row>
    <row r="264" spans="1:3" x14ac:dyDescent="0.25">
      <c r="A264" s="232" t="s">
        <v>181</v>
      </c>
      <c r="B264" s="138">
        <v>5535</v>
      </c>
      <c r="C264" s="153">
        <v>0</v>
      </c>
    </row>
    <row r="265" spans="1:3" x14ac:dyDescent="0.25">
      <c r="A265" s="232" t="s">
        <v>289</v>
      </c>
      <c r="B265" s="138">
        <v>5727</v>
      </c>
      <c r="C265" s="153">
        <v>0</v>
      </c>
    </row>
    <row r="266" spans="1:3" x14ac:dyDescent="0.25">
      <c r="A266" s="232" t="s">
        <v>200</v>
      </c>
      <c r="B266" s="138">
        <v>5568</v>
      </c>
      <c r="C266" s="153">
        <v>0</v>
      </c>
    </row>
    <row r="267" spans="1:3" x14ac:dyDescent="0.25">
      <c r="A267" s="232" t="s">
        <v>128</v>
      </c>
      <c r="B267" s="138">
        <v>5434</v>
      </c>
      <c r="C267" s="153">
        <v>0</v>
      </c>
    </row>
    <row r="268" spans="1:3" x14ac:dyDescent="0.25">
      <c r="A268" s="232" t="s">
        <v>129</v>
      </c>
      <c r="B268" s="138">
        <v>5435</v>
      </c>
      <c r="C268" s="153">
        <v>0</v>
      </c>
    </row>
    <row r="269" spans="1:3" x14ac:dyDescent="0.25">
      <c r="A269" s="232" t="s">
        <v>130</v>
      </c>
      <c r="B269" s="138">
        <v>5436</v>
      </c>
      <c r="C269" s="153">
        <v>0</v>
      </c>
    </row>
    <row r="270" spans="1:3" x14ac:dyDescent="0.25">
      <c r="A270" s="232" t="s">
        <v>239</v>
      </c>
      <c r="B270" s="138">
        <v>5646</v>
      </c>
      <c r="C270" s="153">
        <v>0</v>
      </c>
    </row>
    <row r="271" spans="1:3" x14ac:dyDescent="0.25">
      <c r="A271" s="232" t="s">
        <v>240</v>
      </c>
      <c r="B271" s="138">
        <v>5648</v>
      </c>
      <c r="C271" s="153">
        <v>0</v>
      </c>
    </row>
    <row r="272" spans="1:3" x14ac:dyDescent="0.25">
      <c r="A272" s="232" t="s">
        <v>131</v>
      </c>
      <c r="B272" s="138">
        <v>5437</v>
      </c>
      <c r="C272" s="153">
        <v>29100</v>
      </c>
    </row>
    <row r="273" spans="1:3" x14ac:dyDescent="0.25">
      <c r="A273" s="232" t="s">
        <v>218</v>
      </c>
      <c r="B273" s="138">
        <v>5611</v>
      </c>
      <c r="C273" s="153">
        <v>0</v>
      </c>
    </row>
    <row r="274" spans="1:3" x14ac:dyDescent="0.25">
      <c r="A274" s="232" t="s">
        <v>162</v>
      </c>
      <c r="B274" s="138">
        <v>5499</v>
      </c>
      <c r="C274" s="153">
        <v>0</v>
      </c>
    </row>
    <row r="275" spans="1:3" x14ac:dyDescent="0.25">
      <c r="A275" s="232" t="s">
        <v>314</v>
      </c>
      <c r="B275" s="138">
        <v>5762</v>
      </c>
      <c r="C275" s="153">
        <v>9200</v>
      </c>
    </row>
    <row r="276" spans="1:3" x14ac:dyDescent="0.25">
      <c r="A276" s="232" t="s">
        <v>323</v>
      </c>
      <c r="B276" s="138">
        <v>5799</v>
      </c>
      <c r="C276" s="153">
        <v>0</v>
      </c>
    </row>
    <row r="277" spans="1:3" x14ac:dyDescent="0.25">
      <c r="A277" s="232" t="s">
        <v>290</v>
      </c>
      <c r="B277" s="138">
        <v>5728</v>
      </c>
      <c r="C277" s="153">
        <v>0</v>
      </c>
    </row>
    <row r="278" spans="1:3" x14ac:dyDescent="0.25">
      <c r="A278" s="232" t="s">
        <v>217</v>
      </c>
      <c r="B278" s="138">
        <v>5610</v>
      </c>
      <c r="C278" s="153">
        <v>5300</v>
      </c>
    </row>
    <row r="279" spans="1:3" x14ac:dyDescent="0.25">
      <c r="A279" s="232" t="s">
        <v>385</v>
      </c>
      <c r="B279" s="138">
        <v>5929</v>
      </c>
      <c r="C279" s="153">
        <v>0</v>
      </c>
    </row>
    <row r="280" spans="1:3" x14ac:dyDescent="0.25">
      <c r="A280" s="232" t="s">
        <v>163</v>
      </c>
      <c r="B280" s="138">
        <v>5501</v>
      </c>
      <c r="C280" s="153">
        <v>0</v>
      </c>
    </row>
    <row r="281" spans="1:3" x14ac:dyDescent="0.25">
      <c r="A281" s="232" t="s">
        <v>386</v>
      </c>
      <c r="B281" s="138">
        <v>5930</v>
      </c>
      <c r="C281" s="153">
        <v>0</v>
      </c>
    </row>
    <row r="282" spans="1:3" x14ac:dyDescent="0.25">
      <c r="A282" s="232" t="s">
        <v>261</v>
      </c>
      <c r="B282" s="138">
        <v>5688</v>
      </c>
      <c r="C282" s="153">
        <v>0</v>
      </c>
    </row>
    <row r="283" spans="1:3" x14ac:dyDescent="0.25">
      <c r="A283" s="232" t="s">
        <v>291</v>
      </c>
      <c r="B283" s="138">
        <v>5729</v>
      </c>
      <c r="C283" s="153">
        <v>0</v>
      </c>
    </row>
    <row r="284" spans="1:3" x14ac:dyDescent="0.25">
      <c r="A284" s="232" t="s">
        <v>351</v>
      </c>
      <c r="B284" s="138">
        <v>5862</v>
      </c>
      <c r="C284" s="153">
        <v>0</v>
      </c>
    </row>
    <row r="285" spans="1:3" x14ac:dyDescent="0.25">
      <c r="A285" s="232" t="s">
        <v>201</v>
      </c>
      <c r="B285" s="138">
        <v>5571</v>
      </c>
      <c r="C285" s="153">
        <v>0</v>
      </c>
    </row>
    <row r="286" spans="1:3" x14ac:dyDescent="0.25">
      <c r="A286" s="232" t="s">
        <v>241</v>
      </c>
      <c r="B286" s="138">
        <v>5649</v>
      </c>
      <c r="C286" s="153">
        <v>0</v>
      </c>
    </row>
    <row r="287" spans="1:3" x14ac:dyDescent="0.25">
      <c r="A287" s="232" t="s">
        <v>292</v>
      </c>
      <c r="B287" s="138">
        <v>5730</v>
      </c>
      <c r="C287" s="153">
        <v>14300</v>
      </c>
    </row>
    <row r="288" spans="1:3" x14ac:dyDescent="0.25">
      <c r="A288" s="232" t="s">
        <v>334</v>
      </c>
      <c r="B288" s="138">
        <v>5827</v>
      </c>
      <c r="C288" s="153">
        <v>13300</v>
      </c>
    </row>
    <row r="289" spans="1:3" x14ac:dyDescent="0.25">
      <c r="A289" s="232" t="s">
        <v>387</v>
      </c>
      <c r="B289" s="138">
        <v>5931</v>
      </c>
      <c r="C289" s="153">
        <v>0</v>
      </c>
    </row>
    <row r="290" spans="1:3" x14ac:dyDescent="0.25">
      <c r="A290" s="232" t="s">
        <v>335</v>
      </c>
      <c r="B290" s="138">
        <v>5828</v>
      </c>
      <c r="C290" s="153">
        <v>10100</v>
      </c>
    </row>
    <row r="291" spans="1:3" x14ac:dyDescent="0.25">
      <c r="A291" s="232" t="s">
        <v>102</v>
      </c>
      <c r="B291" s="138">
        <v>5932</v>
      </c>
      <c r="C291" s="153">
        <v>0</v>
      </c>
    </row>
    <row r="292" spans="1:3" x14ac:dyDescent="0.25">
      <c r="A292" s="232" t="s">
        <v>337</v>
      </c>
      <c r="B292" s="138">
        <v>5831</v>
      </c>
      <c r="C292" s="153">
        <v>354600</v>
      </c>
    </row>
    <row r="293" spans="1:3" x14ac:dyDescent="0.25">
      <c r="A293" s="232" t="s">
        <v>388</v>
      </c>
      <c r="B293" s="138">
        <v>5933</v>
      </c>
      <c r="C293" s="153">
        <v>102900</v>
      </c>
    </row>
    <row r="294" spans="1:3" x14ac:dyDescent="0.25">
      <c r="A294" s="232" t="s">
        <v>315</v>
      </c>
      <c r="B294" s="138">
        <v>5763</v>
      </c>
      <c r="C294" s="153">
        <v>0</v>
      </c>
    </row>
    <row r="295" spans="1:3" x14ac:dyDescent="0.25">
      <c r="A295" s="232" t="s">
        <v>389</v>
      </c>
      <c r="B295" s="138">
        <v>5934</v>
      </c>
      <c r="C295" s="153">
        <v>0</v>
      </c>
    </row>
    <row r="296" spans="1:3" x14ac:dyDescent="0.25">
      <c r="A296" s="232" t="s">
        <v>316</v>
      </c>
      <c r="B296" s="138">
        <v>5764</v>
      </c>
      <c r="C296" s="153">
        <v>347600</v>
      </c>
    </row>
    <row r="297" spans="1:3" x14ac:dyDescent="0.25">
      <c r="A297" s="232" t="s">
        <v>317</v>
      </c>
      <c r="B297" s="138">
        <v>5765</v>
      </c>
      <c r="C297" s="153">
        <v>0</v>
      </c>
    </row>
    <row r="298" spans="1:3" x14ac:dyDescent="0.25">
      <c r="A298" s="232" t="s">
        <v>242</v>
      </c>
      <c r="B298" s="138">
        <v>5650</v>
      </c>
      <c r="C298" s="153">
        <v>172200</v>
      </c>
    </row>
    <row r="299" spans="1:3" x14ac:dyDescent="0.25">
      <c r="A299" s="232" t="s">
        <v>362</v>
      </c>
      <c r="B299" s="138">
        <v>5890</v>
      </c>
      <c r="C299" s="153">
        <v>0</v>
      </c>
    </row>
    <row r="300" spans="1:3" x14ac:dyDescent="0.25">
      <c r="A300" s="232" t="s">
        <v>363</v>
      </c>
      <c r="B300" s="138">
        <v>5891</v>
      </c>
      <c r="C300" s="153">
        <v>254100</v>
      </c>
    </row>
    <row r="301" spans="1:3" x14ac:dyDescent="0.25">
      <c r="A301" s="232" t="s">
        <v>294</v>
      </c>
      <c r="B301" s="138">
        <v>5732</v>
      </c>
      <c r="C301" s="153">
        <v>0</v>
      </c>
    </row>
    <row r="302" spans="1:3" x14ac:dyDescent="0.25">
      <c r="A302" s="232" t="s">
        <v>390</v>
      </c>
      <c r="B302" s="138">
        <v>5935</v>
      </c>
      <c r="C302" s="153">
        <v>0</v>
      </c>
    </row>
    <row r="303" spans="1:3" x14ac:dyDescent="0.25">
      <c r="A303" s="232" t="s">
        <v>262</v>
      </c>
      <c r="B303" s="138">
        <v>5690</v>
      </c>
      <c r="C303" s="153">
        <v>0</v>
      </c>
    </row>
    <row r="304" spans="1:3" x14ac:dyDescent="0.25">
      <c r="A304" s="232" t="s">
        <v>182</v>
      </c>
      <c r="B304" s="138">
        <v>5537</v>
      </c>
      <c r="C304" s="153">
        <v>0</v>
      </c>
    </row>
    <row r="305" spans="1:3" x14ac:dyDescent="0.25">
      <c r="A305" s="232" t="s">
        <v>243</v>
      </c>
      <c r="B305" s="138">
        <v>5651</v>
      </c>
      <c r="C305" s="153">
        <v>0</v>
      </c>
    </row>
    <row r="306" spans="1:3" x14ac:dyDescent="0.25">
      <c r="A306" s="232" t="s">
        <v>244</v>
      </c>
      <c r="B306" s="138">
        <v>5652</v>
      </c>
      <c r="C306" s="153">
        <v>0</v>
      </c>
    </row>
    <row r="307" spans="1:3" x14ac:dyDescent="0.25">
      <c r="A307" s="232" t="s">
        <v>336</v>
      </c>
      <c r="B307" s="138">
        <v>5830</v>
      </c>
      <c r="C307" s="153">
        <v>7700</v>
      </c>
    </row>
    <row r="308" spans="1:3" x14ac:dyDescent="0.25">
      <c r="A308" s="232" t="s">
        <v>117</v>
      </c>
      <c r="B308" s="138">
        <v>5414</v>
      </c>
      <c r="C308" s="153">
        <v>465800</v>
      </c>
    </row>
    <row r="309" spans="1:3" x14ac:dyDescent="0.25">
      <c r="A309" s="232" t="s">
        <v>352</v>
      </c>
      <c r="B309" s="138">
        <v>5863</v>
      </c>
      <c r="C309" s="153">
        <v>0</v>
      </c>
    </row>
    <row r="310" spans="1:3" x14ac:dyDescent="0.25">
      <c r="A310" s="232" t="s">
        <v>183</v>
      </c>
      <c r="B310" s="138">
        <v>5539</v>
      </c>
      <c r="C310" s="153">
        <v>0</v>
      </c>
    </row>
    <row r="311" spans="1:3" x14ac:dyDescent="0.25">
      <c r="A311" s="232" t="s">
        <v>263</v>
      </c>
      <c r="B311" s="138">
        <v>5692</v>
      </c>
      <c r="C311" s="153">
        <v>0</v>
      </c>
    </row>
    <row r="312" spans="1:3" x14ac:dyDescent="0.25">
      <c r="A312" s="232" t="s">
        <v>164</v>
      </c>
      <c r="B312" s="138">
        <v>5503</v>
      </c>
      <c r="C312" s="153">
        <v>0</v>
      </c>
    </row>
    <row r="313" spans="1:3" x14ac:dyDescent="0.25">
      <c r="A313" s="232" t="s">
        <v>245</v>
      </c>
      <c r="B313" s="138">
        <v>5653</v>
      </c>
      <c r="C313" s="153">
        <v>0</v>
      </c>
    </row>
    <row r="314" spans="1:3" x14ac:dyDescent="0.25">
      <c r="A314" s="232" t="s">
        <v>391</v>
      </c>
      <c r="B314" s="138">
        <v>5937</v>
      </c>
      <c r="C314" s="153">
        <v>0</v>
      </c>
    </row>
    <row r="315" spans="1:3" x14ac:dyDescent="0.25">
      <c r="A315" s="232" t="s">
        <v>318</v>
      </c>
      <c r="B315" s="138">
        <v>5766</v>
      </c>
      <c r="C315" s="153">
        <v>48600</v>
      </c>
    </row>
    <row r="316" spans="1:3" x14ac:dyDescent="0.25">
      <c r="A316" s="232" t="s">
        <v>324</v>
      </c>
      <c r="B316" s="138">
        <v>5803</v>
      </c>
      <c r="C316" s="153">
        <v>0</v>
      </c>
    </row>
    <row r="317" spans="1:3" x14ac:dyDescent="0.25">
      <c r="A317" s="232" t="s">
        <v>246</v>
      </c>
      <c r="B317" s="138">
        <v>5654</v>
      </c>
      <c r="C317" s="153">
        <v>0</v>
      </c>
    </row>
    <row r="318" spans="1:3" x14ac:dyDescent="0.25">
      <c r="A318" s="232" t="s">
        <v>135</v>
      </c>
      <c r="B318" s="138">
        <v>5464</v>
      </c>
      <c r="C318" s="153">
        <v>0</v>
      </c>
    </row>
    <row r="319" spans="1:3" x14ac:dyDescent="0.25">
      <c r="A319" s="232" t="s">
        <v>247</v>
      </c>
      <c r="B319" s="138">
        <v>5655</v>
      </c>
      <c r="C319" s="153">
        <v>0</v>
      </c>
    </row>
    <row r="320" spans="1:3" x14ac:dyDescent="0.25">
      <c r="A320" s="232" t="s">
        <v>103</v>
      </c>
      <c r="B320" s="138">
        <v>5938</v>
      </c>
      <c r="C320" s="153">
        <v>0</v>
      </c>
    </row>
    <row r="321" spans="1:3" x14ac:dyDescent="0.25">
      <c r="A321" s="232" t="s">
        <v>392</v>
      </c>
      <c r="B321" s="138">
        <v>5939</v>
      </c>
      <c r="C321" s="153">
        <v>0</v>
      </c>
    </row>
    <row r="322" spans="1:3" x14ac:dyDescent="0.25">
      <c r="A322" s="232" t="s">
        <v>118</v>
      </c>
      <c r="B322" s="138">
        <v>5415</v>
      </c>
      <c r="C322" s="153">
        <v>121100</v>
      </c>
    </row>
  </sheetData>
  <sheetProtection sheet="1" objects="1" scenarios="1"/>
  <sortState xmlns:xlrd2="http://schemas.microsoft.com/office/spreadsheetml/2017/richdata2" ref="A23:A322">
    <sortCondition ref="A23:A322"/>
  </sortState>
  <mergeCells count="67">
    <mergeCell ref="D1:E1"/>
    <mergeCell ref="N16:U16"/>
    <mergeCell ref="N18:U18"/>
    <mergeCell ref="P12:Q12"/>
    <mergeCell ref="M7:U7"/>
    <mergeCell ref="M8:U8"/>
    <mergeCell ref="I8:K8"/>
    <mergeCell ref="P11:Q11"/>
    <mergeCell ref="I1:J1"/>
    <mergeCell ref="E17:F17"/>
    <mergeCell ref="S4:U4"/>
    <mergeCell ref="P6:Q6"/>
    <mergeCell ref="S5:T5"/>
    <mergeCell ref="A20:B20"/>
    <mergeCell ref="E15:G15"/>
    <mergeCell ref="M13:M14"/>
    <mergeCell ref="E16:F16"/>
    <mergeCell ref="A16:B16"/>
    <mergeCell ref="A17:B17"/>
    <mergeCell ref="A18:B18"/>
    <mergeCell ref="I17:J17"/>
    <mergeCell ref="I16:J16"/>
    <mergeCell ref="I20:J20"/>
    <mergeCell ref="A15:B15"/>
    <mergeCell ref="I18:J18"/>
    <mergeCell ref="A14:C14"/>
    <mergeCell ref="E19:F19"/>
    <mergeCell ref="E18:F18"/>
    <mergeCell ref="A19:B19"/>
    <mergeCell ref="A6:B6"/>
    <mergeCell ref="I6:J6"/>
    <mergeCell ref="N17:U17"/>
    <mergeCell ref="A7:B8"/>
    <mergeCell ref="C7:C8"/>
    <mergeCell ref="I14:J14"/>
    <mergeCell ref="I13:J13"/>
    <mergeCell ref="S13:S14"/>
    <mergeCell ref="T13:T14"/>
    <mergeCell ref="U13:U14"/>
    <mergeCell ref="A4:C4"/>
    <mergeCell ref="I4:K4"/>
    <mergeCell ref="I5:J5"/>
    <mergeCell ref="A5:B5"/>
    <mergeCell ref="A12:B12"/>
    <mergeCell ref="A11:B11"/>
    <mergeCell ref="I9:J9"/>
    <mergeCell ref="I12:J12"/>
    <mergeCell ref="I11:J11"/>
    <mergeCell ref="I10:J10"/>
    <mergeCell ref="A9:B10"/>
    <mergeCell ref="C9:C10"/>
    <mergeCell ref="E4:G4"/>
    <mergeCell ref="E5:F5"/>
    <mergeCell ref="E6:F6"/>
    <mergeCell ref="E7:F7"/>
    <mergeCell ref="N20:U20"/>
    <mergeCell ref="E13:F13"/>
    <mergeCell ref="E8:F8"/>
    <mergeCell ref="N13:N14"/>
    <mergeCell ref="O13:O14"/>
    <mergeCell ref="P13:P14"/>
    <mergeCell ref="Q13:Q14"/>
    <mergeCell ref="E10:G10"/>
    <mergeCell ref="E11:F11"/>
    <mergeCell ref="E12:F12"/>
    <mergeCell ref="N19:U19"/>
    <mergeCell ref="R13:R14"/>
  </mergeCells>
  <conditionalFormatting sqref="K17">
    <cfRule type="cellIs" dxfId="46" priority="1" operator="greaterThan">
      <formula>55000000</formula>
    </cfRule>
  </conditionalFormatting>
  <conditionalFormatting sqref="Q5">
    <cfRule type="cellIs" dxfId="45" priority="2" operator="lessThan">
      <formula>0</formula>
    </cfRule>
  </conditionalFormatting>
  <dataValidations count="1">
    <dataValidation type="list" allowBlank="1" showInputMessage="1" showErrorMessage="1" sqref="M5" xr:uid="{A889782E-750A-4C2F-9F93-76E5BEF0A567}">
      <formula1>"Décompte prévisionnel, Décompte final, Projet de décompte final"</formula1>
    </dataValidation>
  </dataValidations>
  <hyperlinks>
    <hyperlink ref="B1:C1" location="'Table des matières'!A1" display="← Précédent" xr:uid="{CAA68179-46C2-414B-9512-D6C8A566612C}"/>
    <hyperlink ref="D1" location="Données!A1" display="Suivant →" xr:uid="{C21F6F24-AB0C-431A-9E15-4C3AE52DDA9D}"/>
    <hyperlink ref="C1" location="'Table des matières'!A1" display="Table des matières" xr:uid="{F29EAEE0-8AF5-4C05-8326-668EAA3E38DD}"/>
    <hyperlink ref="N16:U16" r:id="rId1" display="Loi du 4 juin 2024 sur la péréquation intercommunale - sous délai référendaire" xr:uid="{982AB7E2-7531-490B-A7A4-484E794ECA70}"/>
    <hyperlink ref="N18:U18" r:id="rId2" display="Loi du 24 novembre 2003 sur l'organisation et le financement de la politique sociale" xr:uid="{E0430090-D32C-47C4-AE4E-24EBEEA1F029}"/>
    <hyperlink ref="N19:U19" r:id="rId3" display="Loi du 13 septembre 2011 sur l'organisation policière vaudoise" xr:uid="{24C9BC6C-3766-4E34-A772-36E3E7478091}"/>
    <hyperlink ref="N20:U20" r:id="rId4" display="Décret du 4 juin 2024 octroyant une compensation transitoire aux communes désavantagées par le nouveau système" xr:uid="{29DB9C29-8475-409B-8F0D-DD62C995D2B8}"/>
    <hyperlink ref="N17:U17" r:id="rId5" display="Règlement du 15 janvier 2025 d'application de la loi sur la péréquation intercommunale" xr:uid="{494E71CE-2EFC-4952-A2C1-E48EA682A8E1}"/>
  </hyperlinks>
  <printOptions horizontalCentered="1" verticalCentered="1"/>
  <pageMargins left="0.7" right="0.7" top="0.75" bottom="0.75" header="0.3" footer="0.3"/>
  <pageSetup paperSize="9"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03625-2020-4619-9BB8-58AA41C21EDC}">
  <sheetPr>
    <tabColor theme="0" tint="-4.9989318521683403E-2"/>
    <pageSetUpPr fitToPage="1"/>
  </sheetPr>
  <dimension ref="A1:AE319"/>
  <sheetViews>
    <sheetView zoomScale="90" zoomScaleNormal="90" workbookViewId="0">
      <pane xSplit="2" ySplit="7" topLeftCell="C8" activePane="bottomRight" state="frozen"/>
      <selection pane="topRight" activeCell="C1" sqref="C1"/>
      <selection pane="bottomLeft" activeCell="A8" sqref="A8"/>
      <selection pane="bottomRight"/>
    </sheetView>
  </sheetViews>
  <sheetFormatPr baseColWidth="10" defaultRowHeight="15" x14ac:dyDescent="0.25"/>
  <cols>
    <col min="1" max="1" width="7" style="1" customWidth="1"/>
    <col min="2" max="2" width="24.7109375" style="1" bestFit="1" customWidth="1"/>
    <col min="3" max="3" width="11.7109375" style="1" bestFit="1" customWidth="1"/>
    <col min="4" max="4" width="8.7109375" style="1" customWidth="1"/>
    <col min="5" max="5" width="7.42578125" style="1" bestFit="1" customWidth="1"/>
    <col min="6" max="6" width="14.85546875" style="1" bestFit="1" customWidth="1"/>
    <col min="7" max="8" width="13.28515625" style="1" bestFit="1" customWidth="1"/>
    <col min="9" max="10" width="12.140625" style="1" bestFit="1" customWidth="1"/>
    <col min="11" max="11" width="16.28515625" style="1" customWidth="1"/>
    <col min="12" max="12" width="12.85546875" style="1" bestFit="1" customWidth="1"/>
    <col min="13" max="13" width="11.140625" style="1" bestFit="1" customWidth="1"/>
    <col min="14" max="14" width="12.140625" style="1" customWidth="1"/>
    <col min="15" max="15" width="13.28515625" style="1" bestFit="1" customWidth="1"/>
    <col min="16" max="17" width="12.140625" style="1" bestFit="1" customWidth="1"/>
    <col min="18" max="18" width="12.85546875" style="1" bestFit="1" customWidth="1"/>
    <col min="19" max="20" width="13.28515625" style="1" bestFit="1" customWidth="1"/>
    <col min="21" max="21" width="12.140625" style="1" bestFit="1" customWidth="1"/>
    <col min="22" max="22" width="13.28515625" style="1" bestFit="1" customWidth="1"/>
    <col min="23" max="23" width="14.85546875" style="1" bestFit="1" customWidth="1"/>
    <col min="24" max="24" width="11.5703125" style="1" bestFit="1" customWidth="1"/>
    <col min="25" max="25" width="10.85546875" style="1" bestFit="1" customWidth="1"/>
    <col min="26" max="26" width="11.5703125" style="1" bestFit="1" customWidth="1"/>
    <col min="27" max="28" width="9" style="1" bestFit="1" customWidth="1"/>
    <col min="29" max="29" width="14.85546875" style="1" bestFit="1" customWidth="1"/>
    <col min="30" max="30" width="14.7109375" style="1" customWidth="1"/>
    <col min="31" max="31" width="6.42578125" style="1" customWidth="1"/>
    <col min="32" max="16384" width="11.42578125" style="1"/>
  </cols>
  <sheetData>
    <row r="1" spans="1:31" s="4" customFormat="1" ht="27" customHeight="1" x14ac:dyDescent="0.25">
      <c r="A1" s="8" t="s">
        <v>468</v>
      </c>
      <c r="C1" s="96" t="s">
        <v>441</v>
      </c>
      <c r="D1" s="499" t="s">
        <v>593</v>
      </c>
      <c r="E1" s="499"/>
      <c r="F1" s="97" t="s">
        <v>443</v>
      </c>
      <c r="G1" s="500"/>
      <c r="H1" s="500"/>
    </row>
    <row r="2" spans="1:31" ht="15" customHeight="1" x14ac:dyDescent="0.25">
      <c r="A2" s="47" t="str">
        <f>_xlfn.CONCAT(Paramètres!M5," ",Paramètres!N5)</f>
        <v>Décompte final 2025</v>
      </c>
      <c r="E2" s="16"/>
      <c r="N2" s="57"/>
      <c r="R2" s="58"/>
      <c r="S2" s="57"/>
      <c r="T2" s="57"/>
      <c r="U2" s="57"/>
      <c r="V2" s="57"/>
      <c r="W2" s="57"/>
    </row>
    <row r="3" spans="1:31" ht="15" customHeight="1" x14ac:dyDescent="0.25">
      <c r="N3" s="57"/>
      <c r="R3" s="58"/>
      <c r="S3" s="57"/>
      <c r="T3" s="57"/>
      <c r="U3" s="57"/>
      <c r="V3" s="57"/>
      <c r="W3" s="57"/>
    </row>
    <row r="4" spans="1:31" x14ac:dyDescent="0.25">
      <c r="H4" s="16"/>
      <c r="I4" s="16"/>
      <c r="N4" s="17"/>
      <c r="R4" s="58"/>
    </row>
    <row r="5" spans="1:31" x14ac:dyDescent="0.25">
      <c r="A5" s="59"/>
      <c r="B5" s="59"/>
      <c r="C5" s="231"/>
      <c r="D5" s="227"/>
      <c r="E5" s="227"/>
      <c r="F5" s="227"/>
      <c r="G5" s="227"/>
      <c r="H5" s="227"/>
      <c r="I5" s="227"/>
      <c r="J5" s="227"/>
      <c r="K5" s="227"/>
      <c r="L5" s="227"/>
      <c r="M5" s="227"/>
      <c r="N5" s="227"/>
      <c r="O5" s="227"/>
      <c r="P5" s="227"/>
      <c r="Q5" s="227"/>
      <c r="R5" s="227"/>
      <c r="S5" s="227"/>
      <c r="T5" s="227"/>
      <c r="U5" s="227"/>
      <c r="V5" s="227"/>
      <c r="W5" s="227"/>
      <c r="X5" s="227"/>
      <c r="Y5" s="227"/>
      <c r="Z5" s="227"/>
      <c r="AA5" s="227"/>
      <c r="AB5" s="227"/>
      <c r="AC5" s="227"/>
      <c r="AD5" s="227"/>
      <c r="AE5" s="227"/>
    </row>
    <row r="6" spans="1:31" x14ac:dyDescent="0.25">
      <c r="A6" s="495" t="s">
        <v>0</v>
      </c>
      <c r="B6" s="495" t="s">
        <v>1</v>
      </c>
      <c r="C6" s="115" t="str">
        <f>_xlfn.CONCAT("31.12.",Paramètres!O5)</f>
        <v>31.12.2025</v>
      </c>
      <c r="D6" s="116">
        <f>Paramètres!$O$5</f>
        <v>2025</v>
      </c>
      <c r="E6" s="116">
        <f>Paramètres!$O$5</f>
        <v>2025</v>
      </c>
      <c r="F6" s="116">
        <f>Paramètres!$O$5</f>
        <v>2025</v>
      </c>
      <c r="G6" s="116">
        <f>Paramètres!$O$5</f>
        <v>2025</v>
      </c>
      <c r="H6" s="116">
        <f>Paramètres!$O$5</f>
        <v>2025</v>
      </c>
      <c r="I6" s="116">
        <f>Paramètres!$O$5</f>
        <v>2025</v>
      </c>
      <c r="J6" s="116">
        <f>Paramètres!$O$5</f>
        <v>2025</v>
      </c>
      <c r="K6" s="116">
        <f>Paramètres!$O$5</f>
        <v>2025</v>
      </c>
      <c r="L6" s="116">
        <f>Paramètres!$O$5</f>
        <v>2025</v>
      </c>
      <c r="M6" s="116">
        <f>Paramètres!$O$5</f>
        <v>2025</v>
      </c>
      <c r="N6" s="116">
        <f>Paramètres!$O$5</f>
        <v>2025</v>
      </c>
      <c r="O6" s="116">
        <f>Paramètres!$O$5</f>
        <v>2025</v>
      </c>
      <c r="P6" s="116">
        <f>Paramètres!$O$5</f>
        <v>2025</v>
      </c>
      <c r="Q6" s="116">
        <f>Paramètres!$O$5</f>
        <v>2025</v>
      </c>
      <c r="R6" s="116">
        <f>Paramètres!$O$5</f>
        <v>2025</v>
      </c>
      <c r="S6" s="116">
        <f>Paramètres!$O$5</f>
        <v>2025</v>
      </c>
      <c r="T6" s="116">
        <f>Paramètres!$O$5</f>
        <v>2025</v>
      </c>
      <c r="U6" s="116">
        <f>Paramètres!$O$5</f>
        <v>2025</v>
      </c>
      <c r="V6" s="116">
        <f>Paramètres!$O$5</f>
        <v>2025</v>
      </c>
      <c r="W6" s="116">
        <f>Paramètres!$O$5</f>
        <v>2025</v>
      </c>
      <c r="X6" s="117" t="str">
        <f>Paramètres!G8</f>
        <v>2020/2025</v>
      </c>
      <c r="Y6" s="116">
        <f>Paramètres!$O$5</f>
        <v>2025</v>
      </c>
      <c r="Z6" s="117" t="s">
        <v>579</v>
      </c>
      <c r="AA6" s="116" t="str">
        <f>_xlfn.CONCAT("10.",Paramètres!O5)</f>
        <v>10.2025</v>
      </c>
      <c r="AB6" s="116" t="str">
        <f>_xlfn.CONCAT("10.",Paramètres!O5)</f>
        <v>10.2025</v>
      </c>
      <c r="AC6" s="116">
        <f>Paramètres!$O$5</f>
        <v>2025</v>
      </c>
      <c r="AD6" s="116">
        <f>Paramètres!$O$5-1</f>
        <v>2024</v>
      </c>
      <c r="AE6" s="116">
        <f>Paramètres!$O$5</f>
        <v>2025</v>
      </c>
    </row>
    <row r="7" spans="1:31" ht="30" customHeight="1" x14ac:dyDescent="0.25">
      <c r="A7" s="496"/>
      <c r="B7" s="496"/>
      <c r="C7" s="181" t="s">
        <v>29</v>
      </c>
      <c r="D7" s="373" t="s">
        <v>15</v>
      </c>
      <c r="E7" s="196" t="s">
        <v>9</v>
      </c>
      <c r="F7" s="194" t="s">
        <v>3</v>
      </c>
      <c r="G7" s="194" t="s">
        <v>4</v>
      </c>
      <c r="H7" s="194" t="s">
        <v>5</v>
      </c>
      <c r="I7" s="194" t="s">
        <v>6</v>
      </c>
      <c r="J7" s="194" t="s">
        <v>7</v>
      </c>
      <c r="K7" s="195" t="s">
        <v>608</v>
      </c>
      <c r="L7" s="194" t="s">
        <v>44</v>
      </c>
      <c r="M7" s="194" t="s">
        <v>590</v>
      </c>
      <c r="N7" s="194" t="s">
        <v>527</v>
      </c>
      <c r="O7" s="196" t="s">
        <v>9</v>
      </c>
      <c r="P7" s="197" t="s">
        <v>8</v>
      </c>
      <c r="Q7" s="197" t="s">
        <v>55</v>
      </c>
      <c r="R7" s="197" t="s">
        <v>35</v>
      </c>
      <c r="S7" s="191" t="s">
        <v>38</v>
      </c>
      <c r="T7" s="191" t="s">
        <v>39</v>
      </c>
      <c r="U7" s="191" t="s">
        <v>40</v>
      </c>
      <c r="V7" s="187" t="s">
        <v>41</v>
      </c>
      <c r="W7" s="374" t="s">
        <v>589</v>
      </c>
      <c r="X7" s="199" t="s">
        <v>30</v>
      </c>
      <c r="Y7" s="199" t="s">
        <v>414</v>
      </c>
      <c r="Z7" s="199" t="s">
        <v>582</v>
      </c>
      <c r="AA7" s="200" t="s">
        <v>42</v>
      </c>
      <c r="AB7" s="200" t="s">
        <v>395</v>
      </c>
      <c r="AC7" s="198" t="s">
        <v>534</v>
      </c>
      <c r="AD7" s="198" t="s">
        <v>535</v>
      </c>
      <c r="AE7" s="216" t="s">
        <v>24</v>
      </c>
    </row>
    <row r="8" spans="1:31" x14ac:dyDescent="0.25">
      <c r="A8" s="110">
        <v>5401</v>
      </c>
      <c r="B8" s="228" t="s">
        <v>66</v>
      </c>
      <c r="C8" s="375">
        <v>12081</v>
      </c>
      <c r="D8" s="378">
        <v>66</v>
      </c>
      <c r="E8" s="233">
        <v>1.2</v>
      </c>
      <c r="F8" s="234">
        <v>12555242.880000001</v>
      </c>
      <c r="G8" s="235">
        <v>2054757.31</v>
      </c>
      <c r="H8" s="235">
        <v>1229989.25</v>
      </c>
      <c r="I8" s="235">
        <v>183487.05</v>
      </c>
      <c r="J8" s="235">
        <v>14702.45</v>
      </c>
      <c r="K8" s="235">
        <v>74292.78</v>
      </c>
      <c r="L8" s="235">
        <v>-328207.07</v>
      </c>
      <c r="M8" s="235"/>
      <c r="N8" s="235">
        <v>131322.67000000001</v>
      </c>
      <c r="O8" s="235">
        <v>2646492.75</v>
      </c>
      <c r="P8" s="235">
        <v>856244.48</v>
      </c>
      <c r="Q8" s="235">
        <v>369224.6</v>
      </c>
      <c r="R8" s="235">
        <v>-8553.65</v>
      </c>
      <c r="S8" s="235">
        <v>1326429.1499999999</v>
      </c>
      <c r="T8" s="235">
        <v>509055.1</v>
      </c>
      <c r="U8" s="235">
        <v>691254.7</v>
      </c>
      <c r="V8" s="235">
        <v>1797994.6</v>
      </c>
      <c r="W8" s="236">
        <f>SUM(F8:V8)</f>
        <v>24103729.050000004</v>
      </c>
      <c r="X8" s="235">
        <v>1568</v>
      </c>
      <c r="Y8" s="235">
        <v>9</v>
      </c>
      <c r="Z8" s="237">
        <v>0.35299999999999998</v>
      </c>
      <c r="AA8" s="235">
        <v>1479</v>
      </c>
      <c r="AB8" s="235">
        <v>25</v>
      </c>
      <c r="AC8" s="235">
        <v>1722406</v>
      </c>
      <c r="AD8" s="235">
        <v>-71875</v>
      </c>
      <c r="AE8" s="235">
        <v>1</v>
      </c>
    </row>
    <row r="9" spans="1:31" x14ac:dyDescent="0.25">
      <c r="A9" s="111">
        <v>5402</v>
      </c>
      <c r="B9" s="229" t="s">
        <v>105</v>
      </c>
      <c r="C9" s="376">
        <v>8923</v>
      </c>
      <c r="D9" s="379">
        <v>71</v>
      </c>
      <c r="E9" s="238">
        <v>1.25</v>
      </c>
      <c r="F9" s="234">
        <v>10464849.85</v>
      </c>
      <c r="G9" s="235">
        <v>1498217.96</v>
      </c>
      <c r="H9" s="235">
        <v>602967.65</v>
      </c>
      <c r="I9" s="235">
        <v>-473.100000000009</v>
      </c>
      <c r="J9" s="235">
        <v>-58991.5</v>
      </c>
      <c r="K9" s="235">
        <v>50519.49</v>
      </c>
      <c r="L9" s="235">
        <v>-367349.79</v>
      </c>
      <c r="M9" s="235"/>
      <c r="N9" s="235">
        <v>56091.4</v>
      </c>
      <c r="O9" s="235">
        <v>1971828.15</v>
      </c>
      <c r="P9" s="235">
        <v>544387.68000000005</v>
      </c>
      <c r="Q9" s="235">
        <v>87719.3</v>
      </c>
      <c r="R9" s="235">
        <v>-2839.56</v>
      </c>
      <c r="S9" s="235">
        <v>1044377.5</v>
      </c>
      <c r="T9" s="235">
        <v>420008.2</v>
      </c>
      <c r="U9" s="235">
        <v>757869.4</v>
      </c>
      <c r="V9" s="235">
        <v>535758.75</v>
      </c>
      <c r="W9" s="236">
        <f t="shared" ref="W9:W72" si="0">SUM(F9:V9)</f>
        <v>17604941.379999999</v>
      </c>
      <c r="X9" s="235">
        <v>6400</v>
      </c>
      <c r="Y9" s="235">
        <v>516</v>
      </c>
      <c r="Z9" s="237">
        <v>0.7</v>
      </c>
      <c r="AA9" s="235">
        <v>1106</v>
      </c>
      <c r="AB9" s="235">
        <v>141</v>
      </c>
      <c r="AC9" s="235">
        <v>814008</v>
      </c>
      <c r="AD9" s="235">
        <v>-33729</v>
      </c>
      <c r="AE9" s="235">
        <v>1</v>
      </c>
    </row>
    <row r="10" spans="1:31" x14ac:dyDescent="0.25">
      <c r="A10" s="111">
        <v>5403</v>
      </c>
      <c r="B10" s="229" t="s">
        <v>106</v>
      </c>
      <c r="C10" s="376">
        <v>525</v>
      </c>
      <c r="D10" s="379">
        <v>65</v>
      </c>
      <c r="E10" s="238">
        <v>1</v>
      </c>
      <c r="F10" s="234">
        <v>681828.46</v>
      </c>
      <c r="G10" s="235">
        <v>83395.570000000007</v>
      </c>
      <c r="H10" s="235">
        <v>33456.15</v>
      </c>
      <c r="I10" s="235">
        <v>55.05</v>
      </c>
      <c r="J10" s="235">
        <v>0</v>
      </c>
      <c r="K10" s="235">
        <v>0</v>
      </c>
      <c r="L10" s="235">
        <v>-9544.51</v>
      </c>
      <c r="M10" s="235"/>
      <c r="N10" s="235">
        <v>3119.85</v>
      </c>
      <c r="O10" s="235">
        <v>89950.3</v>
      </c>
      <c r="P10" s="235">
        <v>45843.56</v>
      </c>
      <c r="Q10" s="235">
        <v>7435.1</v>
      </c>
      <c r="R10" s="235">
        <v>-113.4</v>
      </c>
      <c r="S10" s="235">
        <v>25890.05</v>
      </c>
      <c r="T10" s="235">
        <v>20047.400000000001</v>
      </c>
      <c r="U10" s="235">
        <v>15370.05</v>
      </c>
      <c r="V10" s="235">
        <v>0</v>
      </c>
      <c r="W10" s="236">
        <f t="shared" si="0"/>
        <v>996733.63000000024</v>
      </c>
      <c r="X10" s="235">
        <v>330</v>
      </c>
      <c r="Y10" s="235">
        <v>0</v>
      </c>
      <c r="Z10" s="237">
        <v>2.4E-2</v>
      </c>
      <c r="AA10" s="235">
        <v>72</v>
      </c>
      <c r="AB10" s="235">
        <v>58</v>
      </c>
      <c r="AC10" s="235" t="s">
        <v>566</v>
      </c>
      <c r="AD10" s="235" t="s">
        <v>566</v>
      </c>
      <c r="AE10" s="235">
        <v>0</v>
      </c>
    </row>
    <row r="11" spans="1:31" x14ac:dyDescent="0.25">
      <c r="A11" s="111">
        <v>5404</v>
      </c>
      <c r="B11" s="229" t="s">
        <v>107</v>
      </c>
      <c r="C11" s="376">
        <v>456</v>
      </c>
      <c r="D11" s="379">
        <v>74</v>
      </c>
      <c r="E11" s="238">
        <v>1.5</v>
      </c>
      <c r="F11" s="234">
        <v>643796.19999999995</v>
      </c>
      <c r="G11" s="235">
        <v>142119.66</v>
      </c>
      <c r="H11" s="235">
        <v>6333.45</v>
      </c>
      <c r="I11" s="235">
        <v>6593.45</v>
      </c>
      <c r="J11" s="235">
        <v>0</v>
      </c>
      <c r="K11" s="235">
        <v>0</v>
      </c>
      <c r="L11" s="235">
        <v>-4930.7700000000004</v>
      </c>
      <c r="M11" s="235"/>
      <c r="N11" s="235">
        <v>1203.48</v>
      </c>
      <c r="O11" s="235">
        <v>144544.4</v>
      </c>
      <c r="P11" s="235">
        <v>3291.48</v>
      </c>
      <c r="Q11" s="235">
        <v>2184.0500000000002</v>
      </c>
      <c r="R11" s="235">
        <v>-1343.64</v>
      </c>
      <c r="S11" s="235">
        <v>51978.8</v>
      </c>
      <c r="T11" s="235">
        <v>60555</v>
      </c>
      <c r="U11" s="235">
        <v>60280.65</v>
      </c>
      <c r="V11" s="235">
        <v>18780.2</v>
      </c>
      <c r="W11" s="236">
        <f t="shared" si="0"/>
        <v>1135386.4099999999</v>
      </c>
      <c r="X11" s="235">
        <v>2057</v>
      </c>
      <c r="Y11" s="235">
        <v>446</v>
      </c>
      <c r="Z11" s="237">
        <v>0.66400000000000003</v>
      </c>
      <c r="AA11" s="235">
        <v>43</v>
      </c>
      <c r="AB11" s="235">
        <v>30</v>
      </c>
      <c r="AC11" s="235" t="s">
        <v>566</v>
      </c>
      <c r="AD11" s="235" t="s">
        <v>566</v>
      </c>
      <c r="AE11" s="235">
        <v>0</v>
      </c>
    </row>
    <row r="12" spans="1:31" x14ac:dyDescent="0.25">
      <c r="A12" s="111">
        <v>5405</v>
      </c>
      <c r="B12" s="229" t="s">
        <v>108</v>
      </c>
      <c r="C12" s="376">
        <v>1546</v>
      </c>
      <c r="D12" s="379">
        <v>73.5</v>
      </c>
      <c r="E12" s="238">
        <v>1.5</v>
      </c>
      <c r="F12" s="234">
        <v>3399046.61</v>
      </c>
      <c r="G12" s="235">
        <v>1465524.89</v>
      </c>
      <c r="H12" s="235">
        <v>27821.4</v>
      </c>
      <c r="I12" s="235">
        <v>9735.5499999999993</v>
      </c>
      <c r="J12" s="235">
        <v>243608.55</v>
      </c>
      <c r="K12" s="235">
        <v>13254.41</v>
      </c>
      <c r="L12" s="235">
        <v>-59914.05</v>
      </c>
      <c r="M12" s="235"/>
      <c r="N12" s="235">
        <v>3496.5</v>
      </c>
      <c r="O12" s="235">
        <v>1321791.8</v>
      </c>
      <c r="P12" s="235">
        <v>154430.53</v>
      </c>
      <c r="Q12" s="235">
        <v>16160.75</v>
      </c>
      <c r="R12" s="235">
        <v>-5488.65</v>
      </c>
      <c r="S12" s="235">
        <v>472881.95</v>
      </c>
      <c r="T12" s="235">
        <v>151360.20000000001</v>
      </c>
      <c r="U12" s="235">
        <v>322034.7</v>
      </c>
      <c r="V12" s="235">
        <v>6978.8</v>
      </c>
      <c r="W12" s="236">
        <f t="shared" si="0"/>
        <v>7542723.9400000004</v>
      </c>
      <c r="X12" s="235">
        <v>1404</v>
      </c>
      <c r="Y12" s="235">
        <v>1546</v>
      </c>
      <c r="Z12" s="237">
        <v>0.61099999999999999</v>
      </c>
      <c r="AA12" s="235">
        <v>140</v>
      </c>
      <c r="AB12" s="235">
        <v>98</v>
      </c>
      <c r="AC12" s="235">
        <v>203681</v>
      </c>
      <c r="AD12" s="235">
        <v>0</v>
      </c>
      <c r="AE12" s="235">
        <v>0</v>
      </c>
    </row>
    <row r="13" spans="1:31" x14ac:dyDescent="0.25">
      <c r="A13" s="111">
        <v>5406</v>
      </c>
      <c r="B13" s="229" t="s">
        <v>109</v>
      </c>
      <c r="C13" s="376">
        <v>1024</v>
      </c>
      <c r="D13" s="379">
        <v>71.5</v>
      </c>
      <c r="E13" s="238">
        <v>1.3</v>
      </c>
      <c r="F13" s="234">
        <v>1136193.1200000001</v>
      </c>
      <c r="G13" s="235">
        <v>169088.31</v>
      </c>
      <c r="H13" s="235">
        <v>164909.70000000001</v>
      </c>
      <c r="I13" s="235">
        <v>5161.2</v>
      </c>
      <c r="J13" s="235">
        <v>0</v>
      </c>
      <c r="K13" s="235">
        <v>342.31</v>
      </c>
      <c r="L13" s="235">
        <v>-27177.48</v>
      </c>
      <c r="M13" s="235"/>
      <c r="N13" s="235">
        <v>15833.36</v>
      </c>
      <c r="O13" s="235">
        <v>212922.2</v>
      </c>
      <c r="P13" s="235">
        <v>50487.519999999997</v>
      </c>
      <c r="Q13" s="235">
        <v>10439.5</v>
      </c>
      <c r="R13" s="235">
        <v>-195.1</v>
      </c>
      <c r="S13" s="235">
        <v>75270.95</v>
      </c>
      <c r="T13" s="235">
        <v>21235.3</v>
      </c>
      <c r="U13" s="235">
        <v>96668.4</v>
      </c>
      <c r="V13" s="235">
        <v>58337.1</v>
      </c>
      <c r="W13" s="236">
        <f t="shared" si="0"/>
        <v>1989516.3900000001</v>
      </c>
      <c r="X13" s="235">
        <v>1247</v>
      </c>
      <c r="Y13" s="235">
        <v>25</v>
      </c>
      <c r="Z13" s="237">
        <v>0.82699999999999996</v>
      </c>
      <c r="AA13" s="235">
        <v>144</v>
      </c>
      <c r="AB13" s="235">
        <v>5</v>
      </c>
      <c r="AC13" s="235" t="s">
        <v>566</v>
      </c>
      <c r="AD13" s="235" t="s">
        <v>566</v>
      </c>
      <c r="AE13" s="235">
        <v>0</v>
      </c>
    </row>
    <row r="14" spans="1:31" x14ac:dyDescent="0.25">
      <c r="A14" s="111">
        <v>5407</v>
      </c>
      <c r="B14" s="229" t="s">
        <v>110</v>
      </c>
      <c r="C14" s="376">
        <v>3722</v>
      </c>
      <c r="D14" s="379">
        <v>78</v>
      </c>
      <c r="E14" s="238">
        <v>1.5</v>
      </c>
      <c r="F14" s="234">
        <v>4278908.8899999997</v>
      </c>
      <c r="G14" s="235">
        <v>1213553.52</v>
      </c>
      <c r="H14" s="235">
        <v>365685.5</v>
      </c>
      <c r="I14" s="235">
        <v>176935.65</v>
      </c>
      <c r="J14" s="235">
        <v>94610</v>
      </c>
      <c r="K14" s="235">
        <v>8491.07</v>
      </c>
      <c r="L14" s="235">
        <v>-225898.3</v>
      </c>
      <c r="M14" s="235"/>
      <c r="N14" s="235">
        <v>50517.27</v>
      </c>
      <c r="O14" s="235">
        <v>1377379.4</v>
      </c>
      <c r="P14" s="235">
        <v>555616.64</v>
      </c>
      <c r="Q14" s="235">
        <v>61904.9</v>
      </c>
      <c r="R14" s="235">
        <v>-9568.7999999999993</v>
      </c>
      <c r="S14" s="235">
        <v>531151.80000000005</v>
      </c>
      <c r="T14" s="235">
        <v>7249.1</v>
      </c>
      <c r="U14" s="235">
        <v>497571.2</v>
      </c>
      <c r="V14" s="235">
        <v>122107.85</v>
      </c>
      <c r="W14" s="236">
        <f t="shared" si="0"/>
        <v>9106215.6899999995</v>
      </c>
      <c r="X14" s="235">
        <v>1489</v>
      </c>
      <c r="Y14" s="235">
        <v>3722</v>
      </c>
      <c r="Z14" s="237">
        <v>0.70199999999999996</v>
      </c>
      <c r="AA14" s="235">
        <v>296</v>
      </c>
      <c r="AB14" s="235">
        <v>86</v>
      </c>
      <c r="AC14" s="235" t="s">
        <v>566</v>
      </c>
      <c r="AD14" s="235" t="s">
        <v>566</v>
      </c>
      <c r="AE14" s="235">
        <v>0</v>
      </c>
    </row>
    <row r="15" spans="1:31" x14ac:dyDescent="0.25">
      <c r="A15" s="111">
        <v>5408</v>
      </c>
      <c r="B15" s="229" t="s">
        <v>111</v>
      </c>
      <c r="C15" s="376">
        <v>1214</v>
      </c>
      <c r="D15" s="379">
        <v>75</v>
      </c>
      <c r="E15" s="238">
        <v>1.5</v>
      </c>
      <c r="F15" s="234">
        <v>2317310.94</v>
      </c>
      <c r="G15" s="235">
        <v>424828.42</v>
      </c>
      <c r="H15" s="235">
        <v>229750.25</v>
      </c>
      <c r="I15" s="235">
        <v>8151.3</v>
      </c>
      <c r="J15" s="235">
        <v>0</v>
      </c>
      <c r="K15" s="235">
        <v>1008.32</v>
      </c>
      <c r="L15" s="235">
        <v>-39308.31</v>
      </c>
      <c r="M15" s="235"/>
      <c r="N15" s="235">
        <v>22148.3</v>
      </c>
      <c r="O15" s="235">
        <v>554869.15</v>
      </c>
      <c r="P15" s="235">
        <v>67119.929999999993</v>
      </c>
      <c r="Q15" s="235">
        <v>26199.45</v>
      </c>
      <c r="R15" s="235">
        <v>-2117.25</v>
      </c>
      <c r="S15" s="235">
        <v>158546.95000000001</v>
      </c>
      <c r="T15" s="235">
        <v>0</v>
      </c>
      <c r="U15" s="235">
        <v>96184.85</v>
      </c>
      <c r="V15" s="235">
        <v>248277.7</v>
      </c>
      <c r="W15" s="236">
        <f t="shared" si="0"/>
        <v>4112970</v>
      </c>
      <c r="X15" s="235">
        <v>886</v>
      </c>
      <c r="Y15" s="235">
        <v>0</v>
      </c>
      <c r="Z15" s="237">
        <v>0.01</v>
      </c>
      <c r="AA15" s="235">
        <v>156</v>
      </c>
      <c r="AB15" s="235">
        <v>75</v>
      </c>
      <c r="AC15" s="235" t="s">
        <v>566</v>
      </c>
      <c r="AD15" s="235" t="s">
        <v>566</v>
      </c>
      <c r="AE15" s="235">
        <v>0</v>
      </c>
    </row>
    <row r="16" spans="1:31" x14ac:dyDescent="0.25">
      <c r="A16" s="111">
        <v>5409</v>
      </c>
      <c r="B16" s="229" t="s">
        <v>112</v>
      </c>
      <c r="C16" s="376">
        <v>8302</v>
      </c>
      <c r="D16" s="379">
        <v>68</v>
      </c>
      <c r="E16" s="238">
        <v>1.3</v>
      </c>
      <c r="F16" s="234">
        <v>14696302.630000001</v>
      </c>
      <c r="G16" s="235">
        <v>6107223.0700000003</v>
      </c>
      <c r="H16" s="235">
        <v>867335.45</v>
      </c>
      <c r="I16" s="235">
        <v>116886.9</v>
      </c>
      <c r="J16" s="235">
        <v>2480688.0699999998</v>
      </c>
      <c r="K16" s="235">
        <v>34653.22</v>
      </c>
      <c r="L16" s="235">
        <v>-301071.83</v>
      </c>
      <c r="M16" s="235"/>
      <c r="N16" s="235">
        <v>91741.440000000002</v>
      </c>
      <c r="O16" s="235">
        <v>4533459.7</v>
      </c>
      <c r="P16" s="235">
        <v>1005296.36</v>
      </c>
      <c r="Q16" s="235">
        <v>149199.20000000001</v>
      </c>
      <c r="R16" s="235">
        <v>-141204.15</v>
      </c>
      <c r="S16" s="235">
        <v>2213707.5499999998</v>
      </c>
      <c r="T16" s="235">
        <v>1974449.4</v>
      </c>
      <c r="U16" s="235">
        <v>1458742.9</v>
      </c>
      <c r="V16" s="235">
        <v>153445.25</v>
      </c>
      <c r="W16" s="236">
        <f t="shared" si="0"/>
        <v>35440855.160000004</v>
      </c>
      <c r="X16" s="235">
        <v>5746</v>
      </c>
      <c r="Y16" s="235">
        <v>4178</v>
      </c>
      <c r="Z16" s="237">
        <v>0.52800000000000002</v>
      </c>
      <c r="AA16" s="235">
        <v>666</v>
      </c>
      <c r="AB16" s="235">
        <v>194</v>
      </c>
      <c r="AC16" s="235">
        <v>1112984</v>
      </c>
      <c r="AD16" s="235">
        <v>-39350</v>
      </c>
      <c r="AE16" s="235">
        <v>1</v>
      </c>
    </row>
    <row r="17" spans="1:31" x14ac:dyDescent="0.25">
      <c r="A17" s="111">
        <v>5410</v>
      </c>
      <c r="B17" s="229" t="s">
        <v>113</v>
      </c>
      <c r="C17" s="376">
        <v>1261</v>
      </c>
      <c r="D17" s="379">
        <v>77</v>
      </c>
      <c r="E17" s="238">
        <v>1.5</v>
      </c>
      <c r="F17" s="234">
        <v>1951072.39</v>
      </c>
      <c r="G17" s="235">
        <v>595218.12</v>
      </c>
      <c r="H17" s="235">
        <v>59418.15</v>
      </c>
      <c r="I17" s="235">
        <v>-341.35</v>
      </c>
      <c r="J17" s="235">
        <v>0</v>
      </c>
      <c r="K17" s="235">
        <v>6993.43</v>
      </c>
      <c r="L17" s="235">
        <v>-35653</v>
      </c>
      <c r="M17" s="235"/>
      <c r="N17" s="235">
        <v>5499.97</v>
      </c>
      <c r="O17" s="235">
        <v>627673.25</v>
      </c>
      <c r="P17" s="235">
        <v>101671.24</v>
      </c>
      <c r="Q17" s="235">
        <v>7312.5</v>
      </c>
      <c r="R17" s="235">
        <v>-235.75</v>
      </c>
      <c r="S17" s="235">
        <v>202211.20000000001</v>
      </c>
      <c r="T17" s="235">
        <v>105252.2</v>
      </c>
      <c r="U17" s="235">
        <v>266303.3</v>
      </c>
      <c r="V17" s="235">
        <v>21318.35</v>
      </c>
      <c r="W17" s="236">
        <f t="shared" si="0"/>
        <v>3913714.0000000005</v>
      </c>
      <c r="X17" s="235">
        <v>5679</v>
      </c>
      <c r="Y17" s="235">
        <v>1261</v>
      </c>
      <c r="Z17" s="237">
        <v>0.623</v>
      </c>
      <c r="AA17" s="235">
        <v>121</v>
      </c>
      <c r="AB17" s="235">
        <v>76</v>
      </c>
      <c r="AC17" s="235" t="s">
        <v>566</v>
      </c>
      <c r="AD17" s="235" t="s">
        <v>566</v>
      </c>
      <c r="AE17" s="235">
        <v>0</v>
      </c>
    </row>
    <row r="18" spans="1:31" x14ac:dyDescent="0.25">
      <c r="A18" s="111">
        <v>5411</v>
      </c>
      <c r="B18" s="229" t="s">
        <v>114</v>
      </c>
      <c r="C18" s="376">
        <v>1440</v>
      </c>
      <c r="D18" s="379">
        <v>76</v>
      </c>
      <c r="E18" s="238">
        <v>1.5</v>
      </c>
      <c r="F18" s="234">
        <v>3366724.59</v>
      </c>
      <c r="G18" s="235">
        <v>1533080.35</v>
      </c>
      <c r="H18" s="235">
        <v>130986.45</v>
      </c>
      <c r="I18" s="235">
        <v>3210.05</v>
      </c>
      <c r="J18" s="235">
        <v>189753.65</v>
      </c>
      <c r="K18" s="235">
        <v>6858.44</v>
      </c>
      <c r="L18" s="235">
        <v>-29973.33</v>
      </c>
      <c r="M18" s="235"/>
      <c r="N18" s="235">
        <v>12493.51</v>
      </c>
      <c r="O18" s="235">
        <v>1360672.1</v>
      </c>
      <c r="P18" s="235">
        <v>215675.35</v>
      </c>
      <c r="Q18" s="235">
        <v>5673.95</v>
      </c>
      <c r="R18" s="235">
        <v>-3325.68</v>
      </c>
      <c r="S18" s="235">
        <v>491008.4</v>
      </c>
      <c r="T18" s="235">
        <v>82762.8</v>
      </c>
      <c r="U18" s="235">
        <v>567704.4</v>
      </c>
      <c r="V18" s="235">
        <v>11496.4</v>
      </c>
      <c r="W18" s="236">
        <f t="shared" si="0"/>
        <v>7944801.4300000016</v>
      </c>
      <c r="X18" s="235">
        <v>4328</v>
      </c>
      <c r="Y18" s="235">
        <v>1440</v>
      </c>
      <c r="Z18" s="237">
        <v>0.72699999999999998</v>
      </c>
      <c r="AA18" s="235">
        <v>131</v>
      </c>
      <c r="AB18" s="235">
        <v>80</v>
      </c>
      <c r="AC18" s="235" t="s">
        <v>566</v>
      </c>
      <c r="AD18" s="235" t="s">
        <v>566</v>
      </c>
      <c r="AE18" s="235">
        <v>0</v>
      </c>
    </row>
    <row r="19" spans="1:31" x14ac:dyDescent="0.25">
      <c r="A19" s="111">
        <v>5412</v>
      </c>
      <c r="B19" s="229" t="s">
        <v>115</v>
      </c>
      <c r="C19" s="376">
        <v>935</v>
      </c>
      <c r="D19" s="379">
        <v>66</v>
      </c>
      <c r="E19" s="238">
        <v>1</v>
      </c>
      <c r="F19" s="234">
        <v>1177162.95</v>
      </c>
      <c r="G19" s="235">
        <v>123561.76</v>
      </c>
      <c r="H19" s="235">
        <v>217977.65</v>
      </c>
      <c r="I19" s="235">
        <v>-30164.35</v>
      </c>
      <c r="J19" s="235">
        <v>0</v>
      </c>
      <c r="K19" s="235">
        <v>557.74</v>
      </c>
      <c r="L19" s="235">
        <v>-24612.65</v>
      </c>
      <c r="M19" s="235"/>
      <c r="N19" s="235">
        <v>17485.150000000001</v>
      </c>
      <c r="O19" s="235">
        <v>287458.2</v>
      </c>
      <c r="P19" s="235">
        <v>89494.95</v>
      </c>
      <c r="Q19" s="235">
        <v>71988.3</v>
      </c>
      <c r="R19" s="235">
        <v>-343.35</v>
      </c>
      <c r="S19" s="235">
        <v>235507.65</v>
      </c>
      <c r="T19" s="235">
        <v>45500</v>
      </c>
      <c r="U19" s="235">
        <v>81913.55</v>
      </c>
      <c r="V19" s="235">
        <v>1339075.05</v>
      </c>
      <c r="W19" s="236">
        <f t="shared" si="0"/>
        <v>3632562.5999999996</v>
      </c>
      <c r="X19" s="235">
        <v>216</v>
      </c>
      <c r="Y19" s="235">
        <v>0</v>
      </c>
      <c r="Z19" s="237">
        <v>0.02</v>
      </c>
      <c r="AA19" s="235">
        <v>120</v>
      </c>
      <c r="AB19" s="235">
        <v>79</v>
      </c>
      <c r="AC19" s="235" t="s">
        <v>566</v>
      </c>
      <c r="AD19" s="235" t="s">
        <v>566</v>
      </c>
      <c r="AE19" s="235">
        <v>0</v>
      </c>
    </row>
    <row r="20" spans="1:31" x14ac:dyDescent="0.25">
      <c r="A20" s="111">
        <v>5413</v>
      </c>
      <c r="B20" s="229" t="s">
        <v>116</v>
      </c>
      <c r="C20" s="376">
        <v>2035</v>
      </c>
      <c r="D20" s="379">
        <v>66.5</v>
      </c>
      <c r="E20" s="238">
        <v>1.2</v>
      </c>
      <c r="F20" s="234">
        <v>2068808.51</v>
      </c>
      <c r="G20" s="235">
        <v>285665.84999999998</v>
      </c>
      <c r="H20" s="235">
        <v>229700.65</v>
      </c>
      <c r="I20" s="235">
        <v>3524.9</v>
      </c>
      <c r="J20" s="235">
        <v>0</v>
      </c>
      <c r="K20" s="235">
        <v>7340.8</v>
      </c>
      <c r="L20" s="235">
        <v>-60955.59</v>
      </c>
      <c r="M20" s="235"/>
      <c r="N20" s="235">
        <v>21712.97</v>
      </c>
      <c r="O20" s="235">
        <v>412537.05</v>
      </c>
      <c r="P20" s="235">
        <v>114815.75</v>
      </c>
      <c r="Q20" s="235">
        <v>41990.15</v>
      </c>
      <c r="R20" s="235">
        <v>-199.15</v>
      </c>
      <c r="S20" s="235">
        <v>419346.3</v>
      </c>
      <c r="T20" s="235">
        <v>8179</v>
      </c>
      <c r="U20" s="235">
        <v>164111.29999999999</v>
      </c>
      <c r="V20" s="235">
        <v>431854.25</v>
      </c>
      <c r="W20" s="236">
        <f t="shared" si="0"/>
        <v>4148432.7399999993</v>
      </c>
      <c r="X20" s="235">
        <v>617</v>
      </c>
      <c r="Y20" s="235">
        <v>0</v>
      </c>
      <c r="Z20" s="237">
        <v>0.29799999999999999</v>
      </c>
      <c r="AA20" s="235">
        <v>305</v>
      </c>
      <c r="AB20" s="235">
        <v>86</v>
      </c>
      <c r="AC20" s="235" t="s">
        <v>566</v>
      </c>
      <c r="AD20" s="235" t="s">
        <v>566</v>
      </c>
      <c r="AE20" s="235">
        <v>0</v>
      </c>
    </row>
    <row r="21" spans="1:31" x14ac:dyDescent="0.25">
      <c r="A21" s="111">
        <v>5414</v>
      </c>
      <c r="B21" s="229" t="s">
        <v>117</v>
      </c>
      <c r="C21" s="376">
        <v>6073</v>
      </c>
      <c r="D21" s="379">
        <v>66.5</v>
      </c>
      <c r="E21" s="238">
        <v>1</v>
      </c>
      <c r="F21" s="234">
        <v>7389683.7800000003</v>
      </c>
      <c r="G21" s="235">
        <v>1187210.04</v>
      </c>
      <c r="H21" s="235">
        <v>674454.85</v>
      </c>
      <c r="I21" s="235">
        <v>220010.8</v>
      </c>
      <c r="J21" s="235">
        <v>76837.55</v>
      </c>
      <c r="K21" s="235">
        <v>16402.150000000001</v>
      </c>
      <c r="L21" s="235">
        <v>-229345.32</v>
      </c>
      <c r="M21" s="235"/>
      <c r="N21" s="235">
        <v>83273.5</v>
      </c>
      <c r="O21" s="235">
        <v>1368786.8</v>
      </c>
      <c r="P21" s="235">
        <v>425881.78</v>
      </c>
      <c r="Q21" s="235">
        <v>157068</v>
      </c>
      <c r="R21" s="235">
        <v>-4256.3500000000004</v>
      </c>
      <c r="S21" s="235">
        <v>984066.25</v>
      </c>
      <c r="T21" s="235">
        <v>169296.4</v>
      </c>
      <c r="U21" s="235">
        <v>601789.05000000005</v>
      </c>
      <c r="V21" s="235">
        <v>1578502.7</v>
      </c>
      <c r="W21" s="236">
        <f t="shared" si="0"/>
        <v>14699661.980000002</v>
      </c>
      <c r="X21" s="235">
        <v>2899</v>
      </c>
      <c r="Y21" s="235">
        <v>0</v>
      </c>
      <c r="Z21" s="237">
        <v>0.82099999999999995</v>
      </c>
      <c r="AA21" s="235">
        <v>699</v>
      </c>
      <c r="AB21" s="235">
        <v>32</v>
      </c>
      <c r="AC21" s="235">
        <v>923124.7</v>
      </c>
      <c r="AD21" s="235">
        <v>-158484.5</v>
      </c>
      <c r="AE21" s="235">
        <v>0</v>
      </c>
    </row>
    <row r="22" spans="1:31" x14ac:dyDescent="0.25">
      <c r="A22" s="111">
        <v>5415</v>
      </c>
      <c r="B22" s="229" t="s">
        <v>118</v>
      </c>
      <c r="C22" s="376">
        <v>1119</v>
      </c>
      <c r="D22" s="379">
        <v>71.5</v>
      </c>
      <c r="E22" s="238">
        <v>1.5</v>
      </c>
      <c r="F22" s="234">
        <v>1894143.26</v>
      </c>
      <c r="G22" s="235">
        <v>403680.24</v>
      </c>
      <c r="H22" s="235">
        <v>75311</v>
      </c>
      <c r="I22" s="235">
        <v>15280.35</v>
      </c>
      <c r="J22" s="235">
        <v>-1096.5999999999999</v>
      </c>
      <c r="K22" s="235">
        <v>1788.53</v>
      </c>
      <c r="L22" s="235">
        <v>-40463.660000000003</v>
      </c>
      <c r="M22" s="235"/>
      <c r="N22" s="235">
        <v>8433.93</v>
      </c>
      <c r="O22" s="235">
        <v>414021.4</v>
      </c>
      <c r="P22" s="235">
        <v>53190.76</v>
      </c>
      <c r="Q22" s="235">
        <v>24182.65</v>
      </c>
      <c r="R22" s="235">
        <v>-5643.6</v>
      </c>
      <c r="S22" s="235">
        <v>98053.75</v>
      </c>
      <c r="T22" s="235">
        <v>45305.5</v>
      </c>
      <c r="U22" s="235">
        <v>86785.7</v>
      </c>
      <c r="V22" s="235">
        <v>39756.25</v>
      </c>
      <c r="W22" s="236">
        <f t="shared" si="0"/>
        <v>3112729.4599999995</v>
      </c>
      <c r="X22" s="235">
        <v>1178</v>
      </c>
      <c r="Y22" s="235">
        <v>0</v>
      </c>
      <c r="Z22" s="237">
        <v>0.32800000000000001</v>
      </c>
      <c r="AA22" s="235">
        <v>127</v>
      </c>
      <c r="AB22" s="235">
        <v>36</v>
      </c>
      <c r="AC22" s="235">
        <v>184050</v>
      </c>
      <c r="AD22" s="235">
        <v>-11645</v>
      </c>
      <c r="AE22" s="235">
        <v>0</v>
      </c>
    </row>
    <row r="23" spans="1:31" x14ac:dyDescent="0.25">
      <c r="A23" s="111">
        <v>5422</v>
      </c>
      <c r="B23" s="229" t="s">
        <v>119</v>
      </c>
      <c r="C23" s="376">
        <v>3896</v>
      </c>
      <c r="D23" s="379">
        <v>68</v>
      </c>
      <c r="E23" s="238">
        <v>1</v>
      </c>
      <c r="F23" s="234">
        <v>12092400.49</v>
      </c>
      <c r="G23" s="235">
        <v>2094655.85</v>
      </c>
      <c r="H23" s="235">
        <v>12953394.949999999</v>
      </c>
      <c r="I23" s="235">
        <v>-1326196.8500000001</v>
      </c>
      <c r="J23" s="235">
        <v>116580.35</v>
      </c>
      <c r="K23" s="235">
        <v>17251.490000000002</v>
      </c>
      <c r="L23" s="235">
        <v>-126690.86</v>
      </c>
      <c r="M23" s="235"/>
      <c r="N23" s="235">
        <v>1082475.82</v>
      </c>
      <c r="O23" s="235">
        <v>1246583.6599999999</v>
      </c>
      <c r="P23" s="235">
        <v>444850.55</v>
      </c>
      <c r="Q23" s="235">
        <v>110024.2</v>
      </c>
      <c r="R23" s="235">
        <v>-15864.36</v>
      </c>
      <c r="S23" s="235">
        <v>526742.1</v>
      </c>
      <c r="T23" s="235">
        <v>562829.69999999995</v>
      </c>
      <c r="U23" s="235">
        <v>528128.6</v>
      </c>
      <c r="V23" s="235">
        <v>944978.55</v>
      </c>
      <c r="W23" s="236">
        <f t="shared" si="0"/>
        <v>31252144.240000002</v>
      </c>
      <c r="X23" s="235">
        <v>1425</v>
      </c>
      <c r="Y23" s="235">
        <v>0</v>
      </c>
      <c r="Z23" s="237">
        <v>0.112</v>
      </c>
      <c r="AA23" s="235">
        <v>422</v>
      </c>
      <c r="AB23" s="235">
        <v>92</v>
      </c>
      <c r="AC23" s="235" t="s">
        <v>566</v>
      </c>
      <c r="AD23" s="235" t="s">
        <v>566</v>
      </c>
      <c r="AE23" s="235">
        <v>0</v>
      </c>
    </row>
    <row r="24" spans="1:31" x14ac:dyDescent="0.25">
      <c r="A24" s="111">
        <v>5423</v>
      </c>
      <c r="B24" s="229" t="s">
        <v>411</v>
      </c>
      <c r="C24" s="376">
        <v>580</v>
      </c>
      <c r="D24" s="379">
        <v>73</v>
      </c>
      <c r="E24" s="238">
        <v>0.5</v>
      </c>
      <c r="F24" s="234">
        <v>915916.71</v>
      </c>
      <c r="G24" s="235">
        <v>126587.61</v>
      </c>
      <c r="H24" s="235">
        <v>29642.5</v>
      </c>
      <c r="I24" s="235">
        <v>1550.4</v>
      </c>
      <c r="J24" s="235">
        <v>0</v>
      </c>
      <c r="K24" s="235">
        <v>2.84</v>
      </c>
      <c r="L24" s="235">
        <v>-9546.9</v>
      </c>
      <c r="M24" s="235"/>
      <c r="N24" s="235">
        <v>2904.02</v>
      </c>
      <c r="O24" s="235">
        <v>47743.25</v>
      </c>
      <c r="P24" s="235">
        <v>40617.75</v>
      </c>
      <c r="Q24" s="235">
        <v>-3334.65</v>
      </c>
      <c r="R24" s="235">
        <v>-99.65</v>
      </c>
      <c r="S24" s="235">
        <v>72397</v>
      </c>
      <c r="T24" s="235">
        <v>0</v>
      </c>
      <c r="U24" s="235">
        <v>42955.9</v>
      </c>
      <c r="V24" s="235">
        <v>25512.2</v>
      </c>
      <c r="W24" s="236">
        <f t="shared" si="0"/>
        <v>1292848.98</v>
      </c>
      <c r="X24" s="235">
        <v>832</v>
      </c>
      <c r="Y24" s="235">
        <v>0</v>
      </c>
      <c r="Z24" s="237">
        <v>1.7000000000000001E-2</v>
      </c>
      <c r="AA24" s="235">
        <v>67</v>
      </c>
      <c r="AB24" s="235">
        <v>67</v>
      </c>
      <c r="AC24" s="235" t="s">
        <v>566</v>
      </c>
      <c r="AD24" s="235" t="s">
        <v>566</v>
      </c>
      <c r="AE24" s="235">
        <v>0</v>
      </c>
    </row>
    <row r="25" spans="1:31" x14ac:dyDescent="0.25">
      <c r="A25" s="111">
        <v>5424</v>
      </c>
      <c r="B25" s="229" t="s">
        <v>120</v>
      </c>
      <c r="C25" s="376">
        <v>300</v>
      </c>
      <c r="D25" s="379">
        <v>75.5</v>
      </c>
      <c r="E25" s="238">
        <v>1</v>
      </c>
      <c r="F25" s="234">
        <v>549338.18999999994</v>
      </c>
      <c r="G25" s="235">
        <v>98159.13</v>
      </c>
      <c r="H25" s="235">
        <v>5037.3500000000004</v>
      </c>
      <c r="I25" s="235">
        <v>1393.7</v>
      </c>
      <c r="J25" s="235">
        <v>44297.7</v>
      </c>
      <c r="K25" s="235">
        <v>176.63</v>
      </c>
      <c r="L25" s="235">
        <v>-7975.81</v>
      </c>
      <c r="M25" s="235"/>
      <c r="N25" s="235">
        <v>598.72</v>
      </c>
      <c r="O25" s="235">
        <v>56377.35</v>
      </c>
      <c r="P25" s="235">
        <v>10122.86</v>
      </c>
      <c r="Q25" s="235">
        <v>1075.5</v>
      </c>
      <c r="R25" s="235">
        <v>0</v>
      </c>
      <c r="S25" s="235">
        <v>12155</v>
      </c>
      <c r="T25" s="235">
        <v>0</v>
      </c>
      <c r="U25" s="235">
        <v>36729</v>
      </c>
      <c r="V25" s="235">
        <v>1089.6500000000001</v>
      </c>
      <c r="W25" s="236">
        <f t="shared" si="0"/>
        <v>808574.96999999974</v>
      </c>
      <c r="X25" s="235">
        <v>963</v>
      </c>
      <c r="Y25" s="235">
        <v>296</v>
      </c>
      <c r="Z25" s="237">
        <v>0.26100000000000001</v>
      </c>
      <c r="AA25" s="235">
        <v>35</v>
      </c>
      <c r="AB25" s="235">
        <v>35</v>
      </c>
      <c r="AC25" s="235" t="s">
        <v>566</v>
      </c>
      <c r="AD25" s="235" t="s">
        <v>566</v>
      </c>
      <c r="AE25" s="235">
        <v>0</v>
      </c>
    </row>
    <row r="26" spans="1:31" x14ac:dyDescent="0.25">
      <c r="A26" s="111">
        <v>5425</v>
      </c>
      <c r="B26" s="229" t="s">
        <v>121</v>
      </c>
      <c r="C26" s="376">
        <v>1701</v>
      </c>
      <c r="D26" s="379">
        <v>69</v>
      </c>
      <c r="E26" s="238">
        <v>0.57999999999999996</v>
      </c>
      <c r="F26" s="234">
        <v>2203638.4</v>
      </c>
      <c r="G26" s="235">
        <v>293385.90000000002</v>
      </c>
      <c r="H26" s="235">
        <v>151318.04999999999</v>
      </c>
      <c r="I26" s="235">
        <v>-11965.55</v>
      </c>
      <c r="J26" s="235">
        <v>0</v>
      </c>
      <c r="K26" s="235">
        <v>31318.13</v>
      </c>
      <c r="L26" s="235">
        <v>-50848.17</v>
      </c>
      <c r="M26" s="235"/>
      <c r="N26" s="235">
        <v>12973.52</v>
      </c>
      <c r="O26" s="235">
        <v>141655.35</v>
      </c>
      <c r="P26" s="235">
        <v>171965.23</v>
      </c>
      <c r="Q26" s="235">
        <v>20049.349999999999</v>
      </c>
      <c r="R26" s="235">
        <v>-34.409999999999997</v>
      </c>
      <c r="S26" s="235">
        <v>167754.4</v>
      </c>
      <c r="T26" s="235">
        <v>7498.1</v>
      </c>
      <c r="U26" s="235">
        <v>124489.4</v>
      </c>
      <c r="V26" s="235">
        <v>95457.9</v>
      </c>
      <c r="W26" s="236">
        <f t="shared" si="0"/>
        <v>3358655.5999999996</v>
      </c>
      <c r="X26" s="235">
        <v>2432</v>
      </c>
      <c r="Y26" s="235">
        <v>11</v>
      </c>
      <c r="Z26" s="237">
        <v>0.184</v>
      </c>
      <c r="AA26" s="235">
        <v>201</v>
      </c>
      <c r="AB26" s="235">
        <v>79</v>
      </c>
      <c r="AC26" s="235" t="s">
        <v>566</v>
      </c>
      <c r="AD26" s="235" t="s">
        <v>566</v>
      </c>
      <c r="AE26" s="235">
        <v>0</v>
      </c>
    </row>
    <row r="27" spans="1:31" x14ac:dyDescent="0.25">
      <c r="A27" s="111">
        <v>5426</v>
      </c>
      <c r="B27" s="229" t="s">
        <v>122</v>
      </c>
      <c r="C27" s="376">
        <v>493</v>
      </c>
      <c r="D27" s="379">
        <v>62</v>
      </c>
      <c r="E27" s="238">
        <v>1.2</v>
      </c>
      <c r="F27" s="234">
        <v>3327490.9</v>
      </c>
      <c r="G27" s="235">
        <v>1268184.1499999999</v>
      </c>
      <c r="H27" s="235">
        <v>47981.85</v>
      </c>
      <c r="I27" s="235">
        <v>3065.5</v>
      </c>
      <c r="J27" s="235">
        <v>764425.1</v>
      </c>
      <c r="K27" s="235">
        <v>1299.8900000000001</v>
      </c>
      <c r="L27" s="235">
        <v>-2010.6</v>
      </c>
      <c r="M27" s="235"/>
      <c r="N27" s="235">
        <v>4752.4399999999996</v>
      </c>
      <c r="O27" s="235">
        <v>354391.5</v>
      </c>
      <c r="P27" s="235">
        <v>72292.72</v>
      </c>
      <c r="Q27" s="235">
        <v>6169.3</v>
      </c>
      <c r="R27" s="235">
        <v>-12503.2</v>
      </c>
      <c r="S27" s="235">
        <v>161661</v>
      </c>
      <c r="T27" s="235">
        <v>1821.4</v>
      </c>
      <c r="U27" s="235">
        <v>69916.399999999994</v>
      </c>
      <c r="V27" s="235">
        <v>18111.75</v>
      </c>
      <c r="W27" s="236">
        <f t="shared" si="0"/>
        <v>6087050.0999999996</v>
      </c>
      <c r="X27" s="235">
        <v>176</v>
      </c>
      <c r="Y27" s="235">
        <v>0</v>
      </c>
      <c r="Z27" s="237">
        <v>0.15</v>
      </c>
      <c r="AA27" s="235">
        <v>25</v>
      </c>
      <c r="AB27" s="235">
        <v>14</v>
      </c>
      <c r="AC27" s="235" t="s">
        <v>566</v>
      </c>
      <c r="AD27" s="235" t="s">
        <v>566</v>
      </c>
      <c r="AE27" s="235">
        <v>0</v>
      </c>
    </row>
    <row r="28" spans="1:31" x14ac:dyDescent="0.25">
      <c r="A28" s="111">
        <v>5427</v>
      </c>
      <c r="B28" s="229" t="s">
        <v>123</v>
      </c>
      <c r="C28" s="376">
        <v>906</v>
      </c>
      <c r="D28" s="379">
        <v>64</v>
      </c>
      <c r="E28" s="238">
        <v>1.3</v>
      </c>
      <c r="F28" s="234">
        <v>3245023.1</v>
      </c>
      <c r="G28" s="235">
        <v>974291.45</v>
      </c>
      <c r="H28" s="235">
        <v>4662.7</v>
      </c>
      <c r="I28" s="235">
        <v>12396.1</v>
      </c>
      <c r="J28" s="235">
        <v>627209</v>
      </c>
      <c r="K28" s="235">
        <v>0</v>
      </c>
      <c r="L28" s="235">
        <v>-7170.55</v>
      </c>
      <c r="M28" s="235"/>
      <c r="N28" s="235">
        <v>1588.15</v>
      </c>
      <c r="O28" s="235">
        <v>508712.45</v>
      </c>
      <c r="P28" s="235">
        <v>10185.32</v>
      </c>
      <c r="Q28" s="235">
        <v>14678.05</v>
      </c>
      <c r="R28" s="235">
        <v>-26152.5</v>
      </c>
      <c r="S28" s="235">
        <v>222675.4</v>
      </c>
      <c r="T28" s="235">
        <v>66500</v>
      </c>
      <c r="U28" s="235">
        <v>82269.05</v>
      </c>
      <c r="V28" s="235">
        <v>16792.05</v>
      </c>
      <c r="W28" s="236">
        <f t="shared" si="0"/>
        <v>5753659.7700000005</v>
      </c>
      <c r="X28" s="235">
        <v>267</v>
      </c>
      <c r="Y28" s="235">
        <v>0</v>
      </c>
      <c r="Z28" s="237">
        <v>7.1999999999999995E-2</v>
      </c>
      <c r="AA28" s="235">
        <v>92</v>
      </c>
      <c r="AB28" s="235">
        <v>54</v>
      </c>
      <c r="AC28" s="235" t="s">
        <v>566</v>
      </c>
      <c r="AD28" s="235" t="s">
        <v>566</v>
      </c>
      <c r="AE28" s="235">
        <v>0</v>
      </c>
    </row>
    <row r="29" spans="1:31" x14ac:dyDescent="0.25">
      <c r="A29" s="111">
        <v>5428</v>
      </c>
      <c r="B29" s="229" t="s">
        <v>124</v>
      </c>
      <c r="C29" s="376">
        <v>2453</v>
      </c>
      <c r="D29" s="379">
        <v>73</v>
      </c>
      <c r="E29" s="238">
        <v>1.2</v>
      </c>
      <c r="F29" s="234">
        <v>3969776.45</v>
      </c>
      <c r="G29" s="235">
        <v>525296.76</v>
      </c>
      <c r="H29" s="235">
        <v>116104</v>
      </c>
      <c r="I29" s="235">
        <v>32314.85</v>
      </c>
      <c r="J29" s="235">
        <v>0</v>
      </c>
      <c r="K29" s="235">
        <v>15011.78</v>
      </c>
      <c r="L29" s="235">
        <v>-86954.6</v>
      </c>
      <c r="M29" s="235"/>
      <c r="N29" s="235">
        <v>13817.59</v>
      </c>
      <c r="O29" s="235">
        <v>544887.15</v>
      </c>
      <c r="P29" s="235">
        <v>215680.3</v>
      </c>
      <c r="Q29" s="235">
        <v>26704.35</v>
      </c>
      <c r="R29" s="235">
        <v>-517.41</v>
      </c>
      <c r="S29" s="235">
        <v>243600.7</v>
      </c>
      <c r="T29" s="235">
        <v>455796.7</v>
      </c>
      <c r="U29" s="235">
        <v>162103.6</v>
      </c>
      <c r="V29" s="235">
        <v>194209.05</v>
      </c>
      <c r="W29" s="236">
        <f t="shared" si="0"/>
        <v>6427831.2699999996</v>
      </c>
      <c r="X29" s="235">
        <v>1881</v>
      </c>
      <c r="Y29" s="235">
        <v>720</v>
      </c>
      <c r="Z29" s="237">
        <v>0.157</v>
      </c>
      <c r="AA29" s="235">
        <v>337</v>
      </c>
      <c r="AB29" s="235">
        <v>86</v>
      </c>
      <c r="AC29" s="235" t="s">
        <v>566</v>
      </c>
      <c r="AD29" s="235" t="s">
        <v>566</v>
      </c>
      <c r="AE29" s="235">
        <v>0</v>
      </c>
    </row>
    <row r="30" spans="1:31" x14ac:dyDescent="0.25">
      <c r="A30" s="111">
        <v>5429</v>
      </c>
      <c r="B30" s="229" t="s">
        <v>125</v>
      </c>
      <c r="C30" s="376">
        <v>558</v>
      </c>
      <c r="D30" s="379">
        <v>77.5</v>
      </c>
      <c r="E30" s="238">
        <v>1</v>
      </c>
      <c r="F30" s="234">
        <v>1145854.8</v>
      </c>
      <c r="G30" s="235">
        <v>169745.69</v>
      </c>
      <c r="H30" s="235">
        <v>6554.55</v>
      </c>
      <c r="I30" s="235">
        <v>3668</v>
      </c>
      <c r="J30" s="235">
        <v>0</v>
      </c>
      <c r="K30" s="235">
        <v>5705.34</v>
      </c>
      <c r="L30" s="235">
        <v>-30187.22</v>
      </c>
      <c r="M30" s="235"/>
      <c r="N30" s="235">
        <v>951.71</v>
      </c>
      <c r="O30" s="235">
        <v>117700.8</v>
      </c>
      <c r="P30" s="235">
        <v>25081.84</v>
      </c>
      <c r="Q30" s="235">
        <v>1196.5</v>
      </c>
      <c r="R30" s="235">
        <v>0</v>
      </c>
      <c r="S30" s="235">
        <v>83985</v>
      </c>
      <c r="T30" s="235">
        <v>0</v>
      </c>
      <c r="U30" s="235">
        <v>72499.850000000006</v>
      </c>
      <c r="V30" s="235">
        <v>12428.5</v>
      </c>
      <c r="W30" s="236">
        <f t="shared" si="0"/>
        <v>1615185.3600000003</v>
      </c>
      <c r="X30" s="235">
        <v>945</v>
      </c>
      <c r="Y30" s="235">
        <v>558</v>
      </c>
      <c r="Z30" s="237">
        <v>0.14599999999999999</v>
      </c>
      <c r="AA30" s="235">
        <v>51</v>
      </c>
      <c r="AB30" s="235">
        <v>37</v>
      </c>
      <c r="AC30" s="235" t="s">
        <v>566</v>
      </c>
      <c r="AD30" s="235" t="s">
        <v>566</v>
      </c>
      <c r="AE30" s="235">
        <v>0</v>
      </c>
    </row>
    <row r="31" spans="1:31" x14ac:dyDescent="0.25">
      <c r="A31" s="111">
        <v>5430</v>
      </c>
      <c r="B31" s="229" t="s">
        <v>126</v>
      </c>
      <c r="C31" s="376">
        <v>492</v>
      </c>
      <c r="D31" s="379">
        <v>77.5</v>
      </c>
      <c r="E31" s="238">
        <v>1</v>
      </c>
      <c r="F31" s="234">
        <v>1026629.84</v>
      </c>
      <c r="G31" s="235">
        <v>208596.19</v>
      </c>
      <c r="H31" s="235">
        <v>10712.3</v>
      </c>
      <c r="I31" s="235">
        <v>882.2</v>
      </c>
      <c r="J31" s="235">
        <v>0</v>
      </c>
      <c r="K31" s="235">
        <v>0</v>
      </c>
      <c r="L31" s="235">
        <v>-2404.4</v>
      </c>
      <c r="M31" s="235"/>
      <c r="N31" s="235">
        <v>1079.43</v>
      </c>
      <c r="O31" s="235">
        <v>97462.8</v>
      </c>
      <c r="P31" s="235">
        <v>10438</v>
      </c>
      <c r="Q31" s="235">
        <v>1015.5</v>
      </c>
      <c r="R31" s="235">
        <v>-451.6</v>
      </c>
      <c r="S31" s="235">
        <v>18900.150000000001</v>
      </c>
      <c r="T31" s="235">
        <v>0</v>
      </c>
      <c r="U31" s="235">
        <v>28414.5</v>
      </c>
      <c r="V31" s="235">
        <v>13140.85</v>
      </c>
      <c r="W31" s="236">
        <f t="shared" si="0"/>
        <v>1414415.76</v>
      </c>
      <c r="X31" s="235">
        <v>1193</v>
      </c>
      <c r="Y31" s="235">
        <v>492</v>
      </c>
      <c r="Z31" s="237">
        <v>0.157</v>
      </c>
      <c r="AA31" s="235">
        <v>53</v>
      </c>
      <c r="AB31" s="235">
        <v>33</v>
      </c>
      <c r="AC31" s="235" t="s">
        <v>566</v>
      </c>
      <c r="AD31" s="235" t="s">
        <v>566</v>
      </c>
      <c r="AE31" s="235">
        <v>0</v>
      </c>
    </row>
    <row r="32" spans="1:31" x14ac:dyDescent="0.25">
      <c r="A32" s="111">
        <v>5431</v>
      </c>
      <c r="B32" s="229" t="s">
        <v>127</v>
      </c>
      <c r="C32" s="376">
        <v>320</v>
      </c>
      <c r="D32" s="379">
        <v>74</v>
      </c>
      <c r="E32" s="238">
        <v>1</v>
      </c>
      <c r="F32" s="234">
        <v>858797.9</v>
      </c>
      <c r="G32" s="235">
        <v>141622.6</v>
      </c>
      <c r="H32" s="235">
        <v>6323.55</v>
      </c>
      <c r="I32" s="235">
        <v>1708.4</v>
      </c>
      <c r="J32" s="235">
        <v>0</v>
      </c>
      <c r="K32" s="235">
        <v>0</v>
      </c>
      <c r="L32" s="235">
        <v>-12190.79</v>
      </c>
      <c r="M32" s="235"/>
      <c r="N32" s="235">
        <v>747.76</v>
      </c>
      <c r="O32" s="235">
        <v>59423.7</v>
      </c>
      <c r="P32" s="235">
        <v>13993.58</v>
      </c>
      <c r="Q32" s="235">
        <v>1133.5</v>
      </c>
      <c r="R32" s="235">
        <v>-816.05</v>
      </c>
      <c r="S32" s="235">
        <v>36400.949999999997</v>
      </c>
      <c r="T32" s="235">
        <v>0</v>
      </c>
      <c r="U32" s="235">
        <v>28952.35</v>
      </c>
      <c r="V32" s="235">
        <v>723.65</v>
      </c>
      <c r="W32" s="236">
        <f t="shared" si="0"/>
        <v>1136821.1000000001</v>
      </c>
      <c r="X32" s="235">
        <v>1099</v>
      </c>
      <c r="Y32" s="235">
        <v>283</v>
      </c>
      <c r="Z32" s="237">
        <v>0.20799999999999999</v>
      </c>
      <c r="AA32" s="235">
        <v>20</v>
      </c>
      <c r="AB32" s="235">
        <v>20</v>
      </c>
      <c r="AC32" s="235" t="s">
        <v>566</v>
      </c>
      <c r="AD32" s="235" t="s">
        <v>566</v>
      </c>
      <c r="AE32" s="235">
        <v>0</v>
      </c>
    </row>
    <row r="33" spans="1:31" x14ac:dyDescent="0.25">
      <c r="A33" s="111">
        <v>5434</v>
      </c>
      <c r="B33" s="229" t="s">
        <v>128</v>
      </c>
      <c r="C33" s="376">
        <v>1082</v>
      </c>
      <c r="D33" s="379">
        <v>69.5</v>
      </c>
      <c r="E33" s="238">
        <v>1.2</v>
      </c>
      <c r="F33" s="234">
        <v>3369206.36</v>
      </c>
      <c r="G33" s="235">
        <v>388320.28</v>
      </c>
      <c r="H33" s="235">
        <v>14539.75</v>
      </c>
      <c r="I33" s="235">
        <v>6004.4</v>
      </c>
      <c r="J33" s="235">
        <v>0</v>
      </c>
      <c r="K33" s="235">
        <v>70571.08</v>
      </c>
      <c r="L33" s="235">
        <v>-70803.95</v>
      </c>
      <c r="M33" s="235"/>
      <c r="N33" s="235">
        <v>1912.63</v>
      </c>
      <c r="O33" s="235">
        <v>305651.34999999998</v>
      </c>
      <c r="P33" s="235">
        <v>64853.71</v>
      </c>
      <c r="Q33" s="235">
        <v>4799.2</v>
      </c>
      <c r="R33" s="235">
        <v>-2514</v>
      </c>
      <c r="S33" s="235">
        <v>101871</v>
      </c>
      <c r="T33" s="235">
        <v>2037.2</v>
      </c>
      <c r="U33" s="235">
        <v>127354.45</v>
      </c>
      <c r="V33" s="235">
        <v>9697.25</v>
      </c>
      <c r="W33" s="236">
        <f t="shared" si="0"/>
        <v>4393500.71</v>
      </c>
      <c r="X33" s="235">
        <v>1228</v>
      </c>
      <c r="Y33" s="235">
        <v>1082</v>
      </c>
      <c r="Z33" s="237">
        <v>0.24399999999999999</v>
      </c>
      <c r="AA33" s="235">
        <v>124</v>
      </c>
      <c r="AB33" s="235">
        <v>83</v>
      </c>
      <c r="AC33" s="235" t="s">
        <v>566</v>
      </c>
      <c r="AD33" s="235" t="s">
        <v>566</v>
      </c>
      <c r="AE33" s="235">
        <v>0</v>
      </c>
    </row>
    <row r="34" spans="1:31" x14ac:dyDescent="0.25">
      <c r="A34" s="111">
        <v>5435</v>
      </c>
      <c r="B34" s="229" t="s">
        <v>129</v>
      </c>
      <c r="C34" s="376">
        <v>708</v>
      </c>
      <c r="D34" s="379">
        <v>69</v>
      </c>
      <c r="E34" s="238">
        <v>1</v>
      </c>
      <c r="F34" s="234">
        <v>1337091.78</v>
      </c>
      <c r="G34" s="235">
        <v>161115.14000000001</v>
      </c>
      <c r="H34" s="235">
        <v>10714.35</v>
      </c>
      <c r="I34" s="235">
        <v>908</v>
      </c>
      <c r="J34" s="235">
        <v>0</v>
      </c>
      <c r="K34" s="235">
        <v>545.47</v>
      </c>
      <c r="L34" s="235">
        <v>-17435.849999999999</v>
      </c>
      <c r="M34" s="235"/>
      <c r="N34" s="235">
        <v>1082.02</v>
      </c>
      <c r="O34" s="235">
        <v>143466.1</v>
      </c>
      <c r="P34" s="235">
        <v>41867.06</v>
      </c>
      <c r="Q34" s="235">
        <v>0</v>
      </c>
      <c r="R34" s="235">
        <v>-780.4</v>
      </c>
      <c r="S34" s="235">
        <v>25772.9</v>
      </c>
      <c r="T34" s="235">
        <v>0</v>
      </c>
      <c r="U34" s="235">
        <v>53579.75</v>
      </c>
      <c r="V34" s="235">
        <v>3060.15</v>
      </c>
      <c r="W34" s="236">
        <f t="shared" si="0"/>
        <v>1760986.47</v>
      </c>
      <c r="X34" s="235">
        <v>805</v>
      </c>
      <c r="Y34" s="235">
        <v>0</v>
      </c>
      <c r="Z34" s="237">
        <v>0.13300000000000001</v>
      </c>
      <c r="AA34" s="235">
        <v>83</v>
      </c>
      <c r="AB34" s="235">
        <v>47</v>
      </c>
      <c r="AC34" s="235" t="s">
        <v>566</v>
      </c>
      <c r="AD34" s="235" t="s">
        <v>566</v>
      </c>
      <c r="AE34" s="235">
        <v>0</v>
      </c>
    </row>
    <row r="35" spans="1:31" x14ac:dyDescent="0.25">
      <c r="A35" s="111">
        <v>5436</v>
      </c>
      <c r="B35" s="229" t="s">
        <v>130</v>
      </c>
      <c r="C35" s="376">
        <v>449</v>
      </c>
      <c r="D35" s="379">
        <v>77</v>
      </c>
      <c r="E35" s="238">
        <v>0.8</v>
      </c>
      <c r="F35" s="234">
        <v>1275160.8899999999</v>
      </c>
      <c r="G35" s="235">
        <v>109993.72</v>
      </c>
      <c r="H35" s="235">
        <v>-818.4</v>
      </c>
      <c r="I35" s="235">
        <v>1304.3499999999999</v>
      </c>
      <c r="J35" s="235">
        <v>20581.25</v>
      </c>
      <c r="K35" s="235">
        <v>0</v>
      </c>
      <c r="L35" s="235">
        <v>-10456.84</v>
      </c>
      <c r="M35" s="235"/>
      <c r="N35" s="235">
        <v>45.24</v>
      </c>
      <c r="O35" s="235">
        <v>75923.7</v>
      </c>
      <c r="P35" s="235">
        <v>6287.51</v>
      </c>
      <c r="Q35" s="235">
        <v>0</v>
      </c>
      <c r="R35" s="235">
        <v>-1211.2</v>
      </c>
      <c r="S35" s="235">
        <v>97118.25</v>
      </c>
      <c r="T35" s="235">
        <v>0</v>
      </c>
      <c r="U35" s="235">
        <v>102371</v>
      </c>
      <c r="V35" s="235">
        <v>0</v>
      </c>
      <c r="W35" s="236">
        <f t="shared" si="0"/>
        <v>1676299.47</v>
      </c>
      <c r="X35" s="235">
        <v>303</v>
      </c>
      <c r="Y35" s="235">
        <v>328</v>
      </c>
      <c r="Z35" s="237">
        <v>8.8999999999999996E-2</v>
      </c>
      <c r="AA35" s="235">
        <v>64</v>
      </c>
      <c r="AB35" s="235">
        <v>10</v>
      </c>
      <c r="AC35" s="235" t="s">
        <v>566</v>
      </c>
      <c r="AD35" s="235" t="s">
        <v>566</v>
      </c>
      <c r="AE35" s="235">
        <v>0</v>
      </c>
    </row>
    <row r="36" spans="1:31" x14ac:dyDescent="0.25">
      <c r="A36" s="111">
        <v>5437</v>
      </c>
      <c r="B36" s="229" t="s">
        <v>131</v>
      </c>
      <c r="C36" s="376">
        <v>441</v>
      </c>
      <c r="D36" s="379">
        <v>80</v>
      </c>
      <c r="E36" s="238">
        <v>1</v>
      </c>
      <c r="F36" s="234">
        <v>979350.07</v>
      </c>
      <c r="G36" s="235">
        <v>69854.67</v>
      </c>
      <c r="H36" s="235">
        <v>16895.849999999999</v>
      </c>
      <c r="I36" s="235">
        <v>2305.8000000000002</v>
      </c>
      <c r="J36" s="235">
        <v>0</v>
      </c>
      <c r="K36" s="235">
        <v>0</v>
      </c>
      <c r="L36" s="235">
        <v>-2623.19</v>
      </c>
      <c r="M36" s="235"/>
      <c r="N36" s="235">
        <v>2583.64</v>
      </c>
      <c r="O36" s="235">
        <v>88307.3</v>
      </c>
      <c r="P36" s="235">
        <v>32103.72</v>
      </c>
      <c r="Q36" s="235">
        <v>3145.2</v>
      </c>
      <c r="R36" s="235">
        <v>-179.7</v>
      </c>
      <c r="S36" s="235">
        <v>78274.3</v>
      </c>
      <c r="T36" s="235">
        <v>0</v>
      </c>
      <c r="U36" s="235">
        <v>43974.45</v>
      </c>
      <c r="V36" s="235">
        <v>0</v>
      </c>
      <c r="W36" s="236">
        <f t="shared" si="0"/>
        <v>1313992.1100000001</v>
      </c>
      <c r="X36" s="235">
        <v>366</v>
      </c>
      <c r="Y36" s="235">
        <v>7</v>
      </c>
      <c r="Z36" s="237">
        <v>0.14799999999999999</v>
      </c>
      <c r="AA36" s="235">
        <v>59</v>
      </c>
      <c r="AB36" s="235">
        <v>45</v>
      </c>
      <c r="AC36" s="235" t="s">
        <v>566</v>
      </c>
      <c r="AD36" s="235" t="s">
        <v>566</v>
      </c>
      <c r="AE36" s="235">
        <v>0</v>
      </c>
    </row>
    <row r="37" spans="1:31" x14ac:dyDescent="0.25">
      <c r="A37" s="111">
        <v>5451</v>
      </c>
      <c r="B37" s="229" t="s">
        <v>132</v>
      </c>
      <c r="C37" s="376">
        <v>4953</v>
      </c>
      <c r="D37" s="379">
        <v>65</v>
      </c>
      <c r="E37" s="238">
        <v>1.5</v>
      </c>
      <c r="F37" s="234">
        <v>5385007.2199999997</v>
      </c>
      <c r="G37" s="235">
        <v>646543.44999999995</v>
      </c>
      <c r="H37" s="235">
        <v>1484259.1</v>
      </c>
      <c r="I37" s="235">
        <v>57865</v>
      </c>
      <c r="J37" s="235">
        <v>0</v>
      </c>
      <c r="K37" s="235">
        <v>65596.679999999993</v>
      </c>
      <c r="L37" s="235">
        <v>-264531.25</v>
      </c>
      <c r="M37" s="235"/>
      <c r="N37" s="235">
        <v>143569.59</v>
      </c>
      <c r="O37" s="235">
        <v>1576843.5</v>
      </c>
      <c r="P37" s="235">
        <v>501492.21</v>
      </c>
      <c r="Q37" s="235">
        <v>144807.95000000001</v>
      </c>
      <c r="R37" s="235">
        <v>-2224.75</v>
      </c>
      <c r="S37" s="235">
        <v>446524.9</v>
      </c>
      <c r="T37" s="235">
        <v>94100.6</v>
      </c>
      <c r="U37" s="235">
        <v>163163.95000000001</v>
      </c>
      <c r="V37" s="235">
        <v>573118.55000000005</v>
      </c>
      <c r="W37" s="236">
        <f t="shared" si="0"/>
        <v>11016136.699999999</v>
      </c>
      <c r="X37" s="235">
        <v>1922</v>
      </c>
      <c r="Y37" s="235">
        <v>0</v>
      </c>
      <c r="Z37" s="237">
        <v>5.1999999999999998E-2</v>
      </c>
      <c r="AA37" s="235">
        <v>677</v>
      </c>
      <c r="AB37" s="235">
        <v>105</v>
      </c>
      <c r="AC37" s="235">
        <v>357716</v>
      </c>
      <c r="AD37" s="235">
        <v>0</v>
      </c>
      <c r="AE37" s="235">
        <v>0</v>
      </c>
    </row>
    <row r="38" spans="1:31" x14ac:dyDescent="0.25">
      <c r="A38" s="111">
        <v>5456</v>
      </c>
      <c r="B38" s="229" t="s">
        <v>133</v>
      </c>
      <c r="C38" s="376">
        <v>1915</v>
      </c>
      <c r="D38" s="379">
        <v>59</v>
      </c>
      <c r="E38" s="238">
        <v>1.5</v>
      </c>
      <c r="F38" s="234">
        <v>3388005.39</v>
      </c>
      <c r="G38" s="235">
        <v>341212.43</v>
      </c>
      <c r="H38" s="235">
        <v>16326.55</v>
      </c>
      <c r="I38" s="235">
        <v>13344.75</v>
      </c>
      <c r="J38" s="235">
        <v>0</v>
      </c>
      <c r="K38" s="235">
        <v>357.9</v>
      </c>
      <c r="L38" s="235">
        <v>-7709.78</v>
      </c>
      <c r="M38" s="235"/>
      <c r="N38" s="235">
        <v>2762.36</v>
      </c>
      <c r="O38" s="235">
        <v>599052.94999999995</v>
      </c>
      <c r="P38" s="235">
        <v>29185.9</v>
      </c>
      <c r="Q38" s="235">
        <v>4193.45</v>
      </c>
      <c r="R38" s="235">
        <v>-1000</v>
      </c>
      <c r="S38" s="235">
        <v>208166</v>
      </c>
      <c r="T38" s="235">
        <v>37220.9</v>
      </c>
      <c r="U38" s="235">
        <v>224374.6</v>
      </c>
      <c r="V38" s="235">
        <v>1398</v>
      </c>
      <c r="W38" s="236">
        <f t="shared" si="0"/>
        <v>4856891.4000000004</v>
      </c>
      <c r="X38" s="235">
        <v>1451</v>
      </c>
      <c r="Y38" s="235">
        <v>0</v>
      </c>
      <c r="Z38" s="237">
        <v>2.8000000000000001E-2</v>
      </c>
      <c r="AA38" s="235">
        <v>222</v>
      </c>
      <c r="AB38" s="235">
        <v>113</v>
      </c>
      <c r="AC38" s="235" t="s">
        <v>566</v>
      </c>
      <c r="AD38" s="235" t="s">
        <v>566</v>
      </c>
      <c r="AE38" s="235">
        <v>0</v>
      </c>
    </row>
    <row r="39" spans="1:31" x14ac:dyDescent="0.25">
      <c r="A39" s="111">
        <v>5458</v>
      </c>
      <c r="B39" s="229" t="s">
        <v>134</v>
      </c>
      <c r="C39" s="376">
        <v>902</v>
      </c>
      <c r="D39" s="379">
        <v>65</v>
      </c>
      <c r="E39" s="238">
        <v>1.5</v>
      </c>
      <c r="F39" s="234">
        <v>1474155.8</v>
      </c>
      <c r="G39" s="235">
        <v>302982.78999999998</v>
      </c>
      <c r="H39" s="235">
        <v>16288.75</v>
      </c>
      <c r="I39" s="235">
        <v>4341.1000000000004</v>
      </c>
      <c r="J39" s="235">
        <v>0</v>
      </c>
      <c r="K39" s="235">
        <v>859.57</v>
      </c>
      <c r="L39" s="235">
        <v>-22290.95</v>
      </c>
      <c r="M39" s="235"/>
      <c r="N39" s="235">
        <v>1920.61</v>
      </c>
      <c r="O39" s="235">
        <v>299653.09999999998</v>
      </c>
      <c r="P39" s="235">
        <v>74351.839999999997</v>
      </c>
      <c r="Q39" s="235">
        <v>13446.75</v>
      </c>
      <c r="R39" s="235">
        <v>-1120.55</v>
      </c>
      <c r="S39" s="235">
        <v>80096.5</v>
      </c>
      <c r="T39" s="235">
        <v>80255.399999999994</v>
      </c>
      <c r="U39" s="235">
        <v>68490.7</v>
      </c>
      <c r="V39" s="235">
        <v>2522.9</v>
      </c>
      <c r="W39" s="236">
        <f t="shared" si="0"/>
        <v>2395954.3100000005</v>
      </c>
      <c r="X39" s="235">
        <v>347</v>
      </c>
      <c r="Y39" s="235">
        <v>0</v>
      </c>
      <c r="Z39" s="237">
        <v>3.1E-2</v>
      </c>
      <c r="AA39" s="235">
        <v>88</v>
      </c>
      <c r="AB39" s="235">
        <v>55</v>
      </c>
      <c r="AC39" s="235" t="s">
        <v>566</v>
      </c>
      <c r="AD39" s="235" t="s">
        <v>566</v>
      </c>
      <c r="AE39" s="235">
        <v>0</v>
      </c>
    </row>
    <row r="40" spans="1:31" x14ac:dyDescent="0.25">
      <c r="A40" s="111">
        <v>5464</v>
      </c>
      <c r="B40" s="229" t="s">
        <v>135</v>
      </c>
      <c r="C40" s="376">
        <v>3698</v>
      </c>
      <c r="D40" s="379">
        <v>67</v>
      </c>
      <c r="E40" s="238">
        <v>1.5</v>
      </c>
      <c r="F40" s="234">
        <v>6321246.2599999998</v>
      </c>
      <c r="G40" s="235">
        <v>1210376.94</v>
      </c>
      <c r="H40" s="235">
        <v>112243.45</v>
      </c>
      <c r="I40" s="235">
        <v>24186.3</v>
      </c>
      <c r="J40" s="235">
        <v>34844.5</v>
      </c>
      <c r="K40" s="235">
        <v>37982.31</v>
      </c>
      <c r="L40" s="235">
        <v>-140950.49</v>
      </c>
      <c r="M40" s="235"/>
      <c r="N40" s="235">
        <v>12701.42</v>
      </c>
      <c r="O40" s="235">
        <v>1232159.8500000001</v>
      </c>
      <c r="P40" s="235">
        <v>139210.76999999999</v>
      </c>
      <c r="Q40" s="235">
        <v>43979.8</v>
      </c>
      <c r="R40" s="235">
        <v>-3960.85</v>
      </c>
      <c r="S40" s="235">
        <v>349607.7</v>
      </c>
      <c r="T40" s="235">
        <v>309947.90000000002</v>
      </c>
      <c r="U40" s="235">
        <v>203242.4</v>
      </c>
      <c r="V40" s="235">
        <v>3970.3</v>
      </c>
      <c r="W40" s="236">
        <f t="shared" si="0"/>
        <v>9890788.5600000005</v>
      </c>
      <c r="X40" s="235">
        <v>2027</v>
      </c>
      <c r="Y40" s="235">
        <v>0</v>
      </c>
      <c r="Z40" s="237">
        <v>6.2E-2</v>
      </c>
      <c r="AA40" s="235">
        <v>461</v>
      </c>
      <c r="AB40" s="235">
        <v>283</v>
      </c>
      <c r="AC40" s="235" t="s">
        <v>566</v>
      </c>
      <c r="AD40" s="235" t="s">
        <v>566</v>
      </c>
      <c r="AE40" s="235">
        <v>0</v>
      </c>
    </row>
    <row r="41" spans="1:31" x14ac:dyDescent="0.25">
      <c r="A41" s="111">
        <v>5471</v>
      </c>
      <c r="B41" s="229" t="s">
        <v>136</v>
      </c>
      <c r="C41" s="376">
        <v>652</v>
      </c>
      <c r="D41" s="379">
        <v>70</v>
      </c>
      <c r="E41" s="238">
        <v>0.9</v>
      </c>
      <c r="F41" s="234">
        <v>1396590.25</v>
      </c>
      <c r="G41" s="235">
        <v>156741.21</v>
      </c>
      <c r="H41" s="235">
        <v>43088.95</v>
      </c>
      <c r="I41" s="235">
        <v>2673.45</v>
      </c>
      <c r="J41" s="235">
        <v>0</v>
      </c>
      <c r="K41" s="235">
        <v>10231.5</v>
      </c>
      <c r="L41" s="235">
        <v>-23453.360000000001</v>
      </c>
      <c r="M41" s="235"/>
      <c r="N41" s="235">
        <v>4260.42</v>
      </c>
      <c r="O41" s="235">
        <v>128473.8</v>
      </c>
      <c r="P41" s="235">
        <v>48953.85</v>
      </c>
      <c r="Q41" s="235">
        <v>5820.25</v>
      </c>
      <c r="R41" s="235">
        <v>-680.05</v>
      </c>
      <c r="S41" s="235">
        <v>68673</v>
      </c>
      <c r="T41" s="235">
        <v>0</v>
      </c>
      <c r="U41" s="235">
        <v>43356</v>
      </c>
      <c r="V41" s="235">
        <v>16883.150000000001</v>
      </c>
      <c r="W41" s="236">
        <f t="shared" si="0"/>
        <v>1901612.4199999997</v>
      </c>
      <c r="X41" s="235">
        <v>369</v>
      </c>
      <c r="Y41" s="235">
        <v>0</v>
      </c>
      <c r="Z41" s="237">
        <v>4.1000000000000002E-2</v>
      </c>
      <c r="AA41" s="235">
        <v>86</v>
      </c>
      <c r="AB41" s="235">
        <v>64</v>
      </c>
      <c r="AC41" s="235" t="s">
        <v>566</v>
      </c>
      <c r="AD41" s="235" t="s">
        <v>566</v>
      </c>
      <c r="AE41" s="235">
        <v>0</v>
      </c>
    </row>
    <row r="42" spans="1:31" x14ac:dyDescent="0.25">
      <c r="A42" s="111">
        <v>5472</v>
      </c>
      <c r="B42" s="229" t="s">
        <v>137</v>
      </c>
      <c r="C42" s="376">
        <v>612</v>
      </c>
      <c r="D42" s="379">
        <v>65</v>
      </c>
      <c r="E42" s="238">
        <v>1</v>
      </c>
      <c r="F42" s="234">
        <v>1223893.49</v>
      </c>
      <c r="G42" s="235">
        <v>173088.8</v>
      </c>
      <c r="H42" s="235">
        <v>6227.55</v>
      </c>
      <c r="I42" s="235">
        <v>4621.7</v>
      </c>
      <c r="J42" s="235">
        <v>0</v>
      </c>
      <c r="K42" s="235">
        <v>24.69</v>
      </c>
      <c r="L42" s="235">
        <v>-14482.28</v>
      </c>
      <c r="M42" s="235"/>
      <c r="N42" s="235">
        <v>1010.05</v>
      </c>
      <c r="O42" s="235">
        <v>127589.4</v>
      </c>
      <c r="P42" s="235">
        <v>23579.25</v>
      </c>
      <c r="Q42" s="235">
        <v>948.45</v>
      </c>
      <c r="R42" s="235">
        <v>-901.4</v>
      </c>
      <c r="S42" s="235">
        <v>371787.65</v>
      </c>
      <c r="T42" s="235">
        <v>0</v>
      </c>
      <c r="U42" s="235">
        <v>22654.25</v>
      </c>
      <c r="V42" s="235">
        <v>0</v>
      </c>
      <c r="W42" s="236">
        <f t="shared" si="0"/>
        <v>1940041.6</v>
      </c>
      <c r="X42" s="235">
        <v>386</v>
      </c>
      <c r="Y42" s="235">
        <v>0</v>
      </c>
      <c r="Z42" s="237">
        <v>1.6E-2</v>
      </c>
      <c r="AA42" s="235">
        <v>62</v>
      </c>
      <c r="AB42" s="235">
        <v>35</v>
      </c>
      <c r="AC42" s="235" t="s">
        <v>566</v>
      </c>
      <c r="AD42" s="235" t="s">
        <v>566</v>
      </c>
      <c r="AE42" s="235">
        <v>0</v>
      </c>
    </row>
    <row r="43" spans="1:31" x14ac:dyDescent="0.25">
      <c r="A43" s="111">
        <v>5473</v>
      </c>
      <c r="B43" s="229" t="s">
        <v>138</v>
      </c>
      <c r="C43" s="376">
        <v>1016</v>
      </c>
      <c r="D43" s="379">
        <v>64</v>
      </c>
      <c r="E43" s="238">
        <v>1</v>
      </c>
      <c r="F43" s="234">
        <v>1934789.64</v>
      </c>
      <c r="G43" s="235">
        <v>207689.97</v>
      </c>
      <c r="H43" s="235">
        <v>18430.5</v>
      </c>
      <c r="I43" s="235">
        <v>2272.1</v>
      </c>
      <c r="J43" s="235">
        <v>0</v>
      </c>
      <c r="K43" s="235">
        <v>1794.22</v>
      </c>
      <c r="L43" s="235">
        <v>-7505.27</v>
      </c>
      <c r="M43" s="235"/>
      <c r="N43" s="235">
        <v>1927.38</v>
      </c>
      <c r="O43" s="235">
        <v>208240.5</v>
      </c>
      <c r="P43" s="235">
        <v>19914.59</v>
      </c>
      <c r="Q43" s="235">
        <v>5169.75</v>
      </c>
      <c r="R43" s="235">
        <v>-229.65</v>
      </c>
      <c r="S43" s="235">
        <v>186710</v>
      </c>
      <c r="T43" s="235">
        <v>0</v>
      </c>
      <c r="U43" s="235">
        <v>77732.100000000006</v>
      </c>
      <c r="V43" s="235">
        <v>18736.3</v>
      </c>
      <c r="W43" s="236">
        <f t="shared" si="0"/>
        <v>2675672.13</v>
      </c>
      <c r="X43" s="235">
        <v>318</v>
      </c>
      <c r="Y43" s="235">
        <v>0</v>
      </c>
      <c r="Z43" s="237">
        <v>4.0000000000000001E-3</v>
      </c>
      <c r="AA43" s="235">
        <v>158</v>
      </c>
      <c r="AB43" s="235">
        <v>88</v>
      </c>
      <c r="AC43" s="235" t="s">
        <v>566</v>
      </c>
      <c r="AD43" s="235" t="s">
        <v>566</v>
      </c>
      <c r="AE43" s="235">
        <v>0</v>
      </c>
    </row>
    <row r="44" spans="1:31" x14ac:dyDescent="0.25">
      <c r="A44" s="111">
        <v>5474</v>
      </c>
      <c r="B44" s="229" t="s">
        <v>139</v>
      </c>
      <c r="C44" s="376">
        <v>421</v>
      </c>
      <c r="D44" s="379">
        <v>76</v>
      </c>
      <c r="E44" s="238">
        <v>1.2</v>
      </c>
      <c r="F44" s="234">
        <v>786129.75</v>
      </c>
      <c r="G44" s="235">
        <v>129962.1</v>
      </c>
      <c r="H44" s="235">
        <v>8281.4</v>
      </c>
      <c r="I44" s="235">
        <v>3582</v>
      </c>
      <c r="J44" s="235">
        <v>0</v>
      </c>
      <c r="K44" s="235">
        <v>7241.04</v>
      </c>
      <c r="L44" s="235">
        <v>-14899.31</v>
      </c>
      <c r="M44" s="235"/>
      <c r="N44" s="235">
        <v>1104.47</v>
      </c>
      <c r="O44" s="235">
        <v>98710.25</v>
      </c>
      <c r="P44" s="235">
        <v>10381.719999999999</v>
      </c>
      <c r="Q44" s="235">
        <v>804.45</v>
      </c>
      <c r="R44" s="235">
        <v>-3.07</v>
      </c>
      <c r="S44" s="235">
        <v>25433.7</v>
      </c>
      <c r="T44" s="235">
        <v>0</v>
      </c>
      <c r="U44" s="235">
        <v>19266.650000000001</v>
      </c>
      <c r="V44" s="235">
        <v>5815.6</v>
      </c>
      <c r="W44" s="236">
        <f t="shared" si="0"/>
        <v>1081810.75</v>
      </c>
      <c r="X44" s="235">
        <v>674</v>
      </c>
      <c r="Y44" s="235">
        <v>0</v>
      </c>
      <c r="Z44" s="237">
        <v>4.2000000000000003E-2</v>
      </c>
      <c r="AA44" s="235">
        <v>49</v>
      </c>
      <c r="AB44" s="235">
        <v>49</v>
      </c>
      <c r="AC44" s="235" t="s">
        <v>566</v>
      </c>
      <c r="AD44" s="235" t="s">
        <v>566</v>
      </c>
      <c r="AE44" s="235">
        <v>0</v>
      </c>
    </row>
    <row r="45" spans="1:31" x14ac:dyDescent="0.25">
      <c r="A45" s="111">
        <v>5475</v>
      </c>
      <c r="B45" s="229" t="s">
        <v>140</v>
      </c>
      <c r="C45" s="376">
        <v>160</v>
      </c>
      <c r="D45" s="379">
        <v>77</v>
      </c>
      <c r="E45" s="238">
        <v>1</v>
      </c>
      <c r="F45" s="234">
        <v>284720.07</v>
      </c>
      <c r="G45" s="235">
        <v>49030.68</v>
      </c>
      <c r="H45" s="235">
        <v>1415.5</v>
      </c>
      <c r="I45" s="235">
        <v>768.05</v>
      </c>
      <c r="J45" s="235">
        <v>0</v>
      </c>
      <c r="K45" s="235">
        <v>0</v>
      </c>
      <c r="L45" s="235">
        <v>-140.56</v>
      </c>
      <c r="M45" s="235"/>
      <c r="N45" s="235">
        <v>203.29</v>
      </c>
      <c r="O45" s="235">
        <v>29438.3</v>
      </c>
      <c r="P45" s="235">
        <v>5218.5200000000004</v>
      </c>
      <c r="Q45" s="235">
        <v>0</v>
      </c>
      <c r="R45" s="235">
        <v>0</v>
      </c>
      <c r="S45" s="235">
        <v>0</v>
      </c>
      <c r="T45" s="235">
        <v>0</v>
      </c>
      <c r="U45" s="235">
        <v>0</v>
      </c>
      <c r="V45" s="235">
        <v>1301.75</v>
      </c>
      <c r="W45" s="236">
        <f t="shared" si="0"/>
        <v>371955.6</v>
      </c>
      <c r="X45" s="235">
        <v>264</v>
      </c>
      <c r="Y45" s="235">
        <v>0</v>
      </c>
      <c r="Z45" s="237">
        <v>6.0999999999999999E-2</v>
      </c>
      <c r="AA45" s="235">
        <v>28</v>
      </c>
      <c r="AB45" s="235">
        <v>19</v>
      </c>
      <c r="AC45" s="235" t="s">
        <v>566</v>
      </c>
      <c r="AD45" s="235" t="s">
        <v>566</v>
      </c>
      <c r="AE45" s="235">
        <v>0</v>
      </c>
    </row>
    <row r="46" spans="1:31" x14ac:dyDescent="0.25">
      <c r="A46" s="111">
        <v>5476</v>
      </c>
      <c r="B46" s="229" t="s">
        <v>141</v>
      </c>
      <c r="C46" s="376">
        <v>345</v>
      </c>
      <c r="D46" s="379">
        <v>70</v>
      </c>
      <c r="E46" s="238">
        <v>1</v>
      </c>
      <c r="F46" s="234">
        <v>617941.19999999995</v>
      </c>
      <c r="G46" s="235">
        <v>95044.86</v>
      </c>
      <c r="H46" s="235">
        <v>13878.15</v>
      </c>
      <c r="I46" s="235">
        <v>1222.4000000000001</v>
      </c>
      <c r="J46" s="235">
        <v>0</v>
      </c>
      <c r="K46" s="235">
        <v>261.27999999999997</v>
      </c>
      <c r="L46" s="235">
        <v>-1550.21</v>
      </c>
      <c r="M46" s="235"/>
      <c r="N46" s="235">
        <v>1405.84</v>
      </c>
      <c r="O46" s="235">
        <v>66742.5</v>
      </c>
      <c r="P46" s="235">
        <v>11141.53</v>
      </c>
      <c r="Q46" s="235">
        <v>0</v>
      </c>
      <c r="R46" s="235">
        <v>-180.55</v>
      </c>
      <c r="S46" s="235">
        <v>154348.6</v>
      </c>
      <c r="T46" s="235">
        <v>0</v>
      </c>
      <c r="U46" s="235">
        <v>14813</v>
      </c>
      <c r="V46" s="235">
        <v>0</v>
      </c>
      <c r="W46" s="236">
        <f t="shared" si="0"/>
        <v>975068.6</v>
      </c>
      <c r="X46" s="235">
        <v>381</v>
      </c>
      <c r="Y46" s="235">
        <v>0</v>
      </c>
      <c r="Z46" s="237">
        <v>9.0999999999999998E-2</v>
      </c>
      <c r="AA46" s="235">
        <v>49</v>
      </c>
      <c r="AB46" s="235">
        <v>49</v>
      </c>
      <c r="AC46" s="235" t="s">
        <v>566</v>
      </c>
      <c r="AD46" s="235" t="s">
        <v>566</v>
      </c>
      <c r="AE46" s="235">
        <v>0</v>
      </c>
    </row>
    <row r="47" spans="1:31" x14ac:dyDescent="0.25">
      <c r="A47" s="111">
        <v>5477</v>
      </c>
      <c r="B47" s="229" t="s">
        <v>142</v>
      </c>
      <c r="C47" s="376">
        <v>4974</v>
      </c>
      <c r="D47" s="379">
        <v>66</v>
      </c>
      <c r="E47" s="238">
        <v>1</v>
      </c>
      <c r="F47" s="234">
        <v>8532174.0999999996</v>
      </c>
      <c r="G47" s="235">
        <v>1166867.8600000001</v>
      </c>
      <c r="H47" s="235">
        <v>258979.4</v>
      </c>
      <c r="I47" s="235">
        <v>8769.2999999999993</v>
      </c>
      <c r="J47" s="235">
        <v>0</v>
      </c>
      <c r="K47" s="235">
        <v>117087.57</v>
      </c>
      <c r="L47" s="235">
        <v>-1365218.58</v>
      </c>
      <c r="M47" s="235"/>
      <c r="N47" s="235">
        <v>24927.03</v>
      </c>
      <c r="O47" s="235">
        <v>947098.05</v>
      </c>
      <c r="P47" s="235">
        <v>299310.48</v>
      </c>
      <c r="Q47" s="235">
        <v>55218</v>
      </c>
      <c r="R47" s="235">
        <v>-2734.55</v>
      </c>
      <c r="S47" s="235">
        <v>372637.3</v>
      </c>
      <c r="T47" s="235">
        <v>13256</v>
      </c>
      <c r="U47" s="235">
        <v>1040239.25</v>
      </c>
      <c r="V47" s="235">
        <v>212360.5</v>
      </c>
      <c r="W47" s="236">
        <f t="shared" si="0"/>
        <v>11680971.710000001</v>
      </c>
      <c r="X47" s="235">
        <v>818</v>
      </c>
      <c r="Y47" s="235">
        <v>0</v>
      </c>
      <c r="Z47" s="237">
        <v>0.06</v>
      </c>
      <c r="AA47" s="235">
        <v>600</v>
      </c>
      <c r="AB47" s="235">
        <v>79</v>
      </c>
      <c r="AC47" s="235" t="s">
        <v>566</v>
      </c>
      <c r="AD47" s="235" t="s">
        <v>566</v>
      </c>
      <c r="AE47" s="235">
        <v>0</v>
      </c>
    </row>
    <row r="48" spans="1:31" x14ac:dyDescent="0.25">
      <c r="A48" s="111">
        <v>5479</v>
      </c>
      <c r="B48" s="229" t="s">
        <v>143</v>
      </c>
      <c r="C48" s="376">
        <v>557</v>
      </c>
      <c r="D48" s="379">
        <v>76</v>
      </c>
      <c r="E48" s="238">
        <v>1</v>
      </c>
      <c r="F48" s="234">
        <v>1267625.3400000001</v>
      </c>
      <c r="G48" s="235">
        <v>244396.87</v>
      </c>
      <c r="H48" s="235">
        <v>18375.099999999999</v>
      </c>
      <c r="I48" s="235">
        <v>1563.8</v>
      </c>
      <c r="J48" s="235">
        <v>0</v>
      </c>
      <c r="K48" s="235">
        <v>11294.24</v>
      </c>
      <c r="L48" s="235">
        <v>-84950.29</v>
      </c>
      <c r="M48" s="235"/>
      <c r="N48" s="235">
        <v>1856.28</v>
      </c>
      <c r="O48" s="235">
        <v>102744.35</v>
      </c>
      <c r="P48" s="235">
        <v>9646.08</v>
      </c>
      <c r="Q48" s="235">
        <v>1643</v>
      </c>
      <c r="R48" s="235">
        <v>-1118.7</v>
      </c>
      <c r="S48" s="235">
        <v>218300.05</v>
      </c>
      <c r="T48" s="235">
        <v>25552.799999999999</v>
      </c>
      <c r="U48" s="235">
        <v>37672.5</v>
      </c>
      <c r="V48" s="235">
        <v>11792.25</v>
      </c>
      <c r="W48" s="236">
        <f t="shared" si="0"/>
        <v>1866393.6700000004</v>
      </c>
      <c r="X48" s="235">
        <v>704</v>
      </c>
      <c r="Y48" s="235">
        <v>0</v>
      </c>
      <c r="Z48" s="237">
        <v>2.1000000000000001E-2</v>
      </c>
      <c r="AA48" s="235">
        <v>85</v>
      </c>
      <c r="AB48" s="235">
        <v>50</v>
      </c>
      <c r="AC48" s="235" t="s">
        <v>566</v>
      </c>
      <c r="AD48" s="235" t="s">
        <v>566</v>
      </c>
      <c r="AE48" s="235">
        <v>0</v>
      </c>
    </row>
    <row r="49" spans="1:31" x14ac:dyDescent="0.25">
      <c r="A49" s="111">
        <v>5480</v>
      </c>
      <c r="B49" s="229" t="s">
        <v>144</v>
      </c>
      <c r="C49" s="376">
        <v>1113</v>
      </c>
      <c r="D49" s="379">
        <v>66</v>
      </c>
      <c r="E49" s="238">
        <v>1.2</v>
      </c>
      <c r="F49" s="234">
        <v>2296710.77</v>
      </c>
      <c r="G49" s="235">
        <v>328591.84999999998</v>
      </c>
      <c r="H49" s="235">
        <v>98989.6</v>
      </c>
      <c r="I49" s="235">
        <v>8447.1</v>
      </c>
      <c r="J49" s="235">
        <v>0</v>
      </c>
      <c r="K49" s="235">
        <v>1745.29</v>
      </c>
      <c r="L49" s="235">
        <v>-12903.95</v>
      </c>
      <c r="M49" s="235"/>
      <c r="N49" s="235">
        <v>10002.209999999999</v>
      </c>
      <c r="O49" s="235">
        <v>425937.05</v>
      </c>
      <c r="P49" s="235">
        <v>59440.05</v>
      </c>
      <c r="Q49" s="235">
        <v>12472.7</v>
      </c>
      <c r="R49" s="235">
        <v>-1229.05</v>
      </c>
      <c r="S49" s="235">
        <v>104700.8</v>
      </c>
      <c r="T49" s="235">
        <v>229.2</v>
      </c>
      <c r="U49" s="235">
        <v>86665.8</v>
      </c>
      <c r="V49" s="235">
        <v>198648.1</v>
      </c>
      <c r="W49" s="236">
        <f t="shared" si="0"/>
        <v>3618447.52</v>
      </c>
      <c r="X49" s="235">
        <v>546</v>
      </c>
      <c r="Y49" s="235">
        <v>0</v>
      </c>
      <c r="Z49" s="237">
        <v>9.4E-2</v>
      </c>
      <c r="AA49" s="235">
        <v>156</v>
      </c>
      <c r="AB49" s="235">
        <v>107</v>
      </c>
      <c r="AC49" s="235" t="s">
        <v>566</v>
      </c>
      <c r="AD49" s="235" t="s">
        <v>566</v>
      </c>
      <c r="AE49" s="235">
        <v>0</v>
      </c>
    </row>
    <row r="50" spans="1:31" x14ac:dyDescent="0.25">
      <c r="A50" s="111">
        <v>5481</v>
      </c>
      <c r="B50" s="229" t="s">
        <v>145</v>
      </c>
      <c r="C50" s="376">
        <v>239</v>
      </c>
      <c r="D50" s="379">
        <v>75</v>
      </c>
      <c r="E50" s="238">
        <v>1</v>
      </c>
      <c r="F50" s="234">
        <v>477244.95</v>
      </c>
      <c r="G50" s="235">
        <v>67127.16</v>
      </c>
      <c r="H50" s="235">
        <v>44664</v>
      </c>
      <c r="I50" s="235">
        <v>1124.55</v>
      </c>
      <c r="J50" s="235">
        <v>0</v>
      </c>
      <c r="K50" s="235">
        <v>0</v>
      </c>
      <c r="L50" s="235">
        <v>-2585.0500000000002</v>
      </c>
      <c r="M50" s="235"/>
      <c r="N50" s="235">
        <v>4262.8500000000004</v>
      </c>
      <c r="O50" s="235">
        <v>42720.1</v>
      </c>
      <c r="P50" s="235">
        <v>8682.3799999999992</v>
      </c>
      <c r="Q50" s="235">
        <v>0</v>
      </c>
      <c r="R50" s="235">
        <v>0</v>
      </c>
      <c r="S50" s="235">
        <v>8910</v>
      </c>
      <c r="T50" s="235">
        <v>0</v>
      </c>
      <c r="U50" s="235">
        <v>16779.3</v>
      </c>
      <c r="V50" s="235">
        <v>0</v>
      </c>
      <c r="W50" s="236">
        <f t="shared" si="0"/>
        <v>668930.24</v>
      </c>
      <c r="X50" s="235">
        <v>304</v>
      </c>
      <c r="Y50" s="235">
        <v>0</v>
      </c>
      <c r="Z50" s="237">
        <v>3.5000000000000003E-2</v>
      </c>
      <c r="AA50" s="235">
        <v>30</v>
      </c>
      <c r="AB50" s="235">
        <v>30</v>
      </c>
      <c r="AC50" s="235" t="s">
        <v>566</v>
      </c>
      <c r="AD50" s="235" t="s">
        <v>566</v>
      </c>
      <c r="AE50" s="235">
        <v>0</v>
      </c>
    </row>
    <row r="51" spans="1:31" x14ac:dyDescent="0.25">
      <c r="A51" s="111">
        <v>5482</v>
      </c>
      <c r="B51" s="229" t="s">
        <v>146</v>
      </c>
      <c r="C51" s="376">
        <v>1202</v>
      </c>
      <c r="D51" s="379">
        <v>46</v>
      </c>
      <c r="E51" s="238">
        <v>1</v>
      </c>
      <c r="F51" s="234">
        <v>1291231.5</v>
      </c>
      <c r="G51" s="235">
        <v>179885.5</v>
      </c>
      <c r="H51" s="235">
        <v>336754.5</v>
      </c>
      <c r="I51" s="235">
        <v>23532.95</v>
      </c>
      <c r="J51" s="235">
        <v>0</v>
      </c>
      <c r="K51" s="235">
        <v>3580.53</v>
      </c>
      <c r="L51" s="235">
        <v>-10634.84</v>
      </c>
      <c r="M51" s="235"/>
      <c r="N51" s="235">
        <v>33542.26</v>
      </c>
      <c r="O51" s="235">
        <v>468329.8</v>
      </c>
      <c r="P51" s="235">
        <v>69342.19</v>
      </c>
      <c r="Q51" s="235">
        <v>27380.799999999999</v>
      </c>
      <c r="R51" s="235">
        <v>-146.65</v>
      </c>
      <c r="S51" s="235">
        <v>64779</v>
      </c>
      <c r="T51" s="235">
        <v>0</v>
      </c>
      <c r="U51" s="235">
        <v>45562.65</v>
      </c>
      <c r="V51" s="235">
        <v>776281.05</v>
      </c>
      <c r="W51" s="236">
        <f t="shared" si="0"/>
        <v>3309421.2399999993</v>
      </c>
      <c r="X51" s="235">
        <v>576</v>
      </c>
      <c r="Y51" s="235">
        <v>0</v>
      </c>
      <c r="Z51" s="237">
        <v>0.125</v>
      </c>
      <c r="AA51" s="235">
        <v>152</v>
      </c>
      <c r="AB51" s="235">
        <v>9</v>
      </c>
      <c r="AC51" s="235" t="s">
        <v>566</v>
      </c>
      <c r="AD51" s="235" t="s">
        <v>566</v>
      </c>
      <c r="AE51" s="235">
        <v>0</v>
      </c>
    </row>
    <row r="52" spans="1:31" x14ac:dyDescent="0.25">
      <c r="A52" s="111">
        <v>5483</v>
      </c>
      <c r="B52" s="229" t="s">
        <v>147</v>
      </c>
      <c r="C52" s="376">
        <v>308</v>
      </c>
      <c r="D52" s="379">
        <v>76</v>
      </c>
      <c r="E52" s="238">
        <v>1</v>
      </c>
      <c r="F52" s="234">
        <v>626680.54</v>
      </c>
      <c r="G52" s="235">
        <v>85421.53</v>
      </c>
      <c r="H52" s="235">
        <v>-788.65</v>
      </c>
      <c r="I52" s="235">
        <v>3092.05</v>
      </c>
      <c r="J52" s="235">
        <v>0</v>
      </c>
      <c r="K52" s="235">
        <v>0</v>
      </c>
      <c r="L52" s="235">
        <v>-10315.370000000001</v>
      </c>
      <c r="M52" s="235"/>
      <c r="N52" s="235">
        <v>214.44</v>
      </c>
      <c r="O52" s="235">
        <v>61049.3</v>
      </c>
      <c r="P52" s="235">
        <v>3155.6</v>
      </c>
      <c r="Q52" s="235">
        <v>175.5</v>
      </c>
      <c r="R52" s="235">
        <v>-1146.45</v>
      </c>
      <c r="S52" s="235">
        <v>28658.65</v>
      </c>
      <c r="T52" s="235">
        <v>0</v>
      </c>
      <c r="U52" s="235">
        <v>24852.5</v>
      </c>
      <c r="V52" s="235">
        <v>569</v>
      </c>
      <c r="W52" s="236">
        <f t="shared" si="0"/>
        <v>821618.64000000013</v>
      </c>
      <c r="X52" s="235">
        <v>315</v>
      </c>
      <c r="Y52" s="235">
        <v>0</v>
      </c>
      <c r="Z52" s="237">
        <v>3.5999999999999997E-2</v>
      </c>
      <c r="AA52" s="235">
        <v>41</v>
      </c>
      <c r="AB52" s="235">
        <v>29</v>
      </c>
      <c r="AC52" s="235" t="s">
        <v>566</v>
      </c>
      <c r="AD52" s="235" t="s">
        <v>566</v>
      </c>
      <c r="AE52" s="235">
        <v>0</v>
      </c>
    </row>
    <row r="53" spans="1:31" x14ac:dyDescent="0.25">
      <c r="A53" s="111">
        <v>5484</v>
      </c>
      <c r="B53" s="229" t="s">
        <v>148</v>
      </c>
      <c r="C53" s="376">
        <v>1091</v>
      </c>
      <c r="D53" s="379">
        <v>74</v>
      </c>
      <c r="E53" s="238">
        <v>1</v>
      </c>
      <c r="F53" s="234">
        <v>1909773.21</v>
      </c>
      <c r="G53" s="235">
        <v>280392.2</v>
      </c>
      <c r="H53" s="235">
        <v>49253.35</v>
      </c>
      <c r="I53" s="235">
        <v>2127.35</v>
      </c>
      <c r="J53" s="235">
        <v>0</v>
      </c>
      <c r="K53" s="235">
        <v>3400.12</v>
      </c>
      <c r="L53" s="235">
        <v>-18132.189999999999</v>
      </c>
      <c r="M53" s="235"/>
      <c r="N53" s="235">
        <v>4783.47</v>
      </c>
      <c r="O53" s="235">
        <v>218990.9</v>
      </c>
      <c r="P53" s="235">
        <v>30234.560000000001</v>
      </c>
      <c r="Q53" s="235">
        <v>5372.65</v>
      </c>
      <c r="R53" s="235">
        <v>-555.9</v>
      </c>
      <c r="S53" s="235">
        <v>228333.9</v>
      </c>
      <c r="T53" s="235">
        <v>23484</v>
      </c>
      <c r="U53" s="235">
        <v>236046.2</v>
      </c>
      <c r="V53" s="235">
        <v>42469.55</v>
      </c>
      <c r="W53" s="236">
        <f t="shared" si="0"/>
        <v>3015973.3700000006</v>
      </c>
      <c r="X53" s="235">
        <v>546</v>
      </c>
      <c r="Y53" s="235">
        <v>0</v>
      </c>
      <c r="Z53" s="237">
        <v>7.9000000000000001E-2</v>
      </c>
      <c r="AA53" s="235">
        <v>147</v>
      </c>
      <c r="AB53" s="235">
        <v>63</v>
      </c>
      <c r="AC53" s="235" t="s">
        <v>566</v>
      </c>
      <c r="AD53" s="235" t="s">
        <v>566</v>
      </c>
      <c r="AE53" s="235">
        <v>0</v>
      </c>
    </row>
    <row r="54" spans="1:31" x14ac:dyDescent="0.25">
      <c r="A54" s="111">
        <v>5485</v>
      </c>
      <c r="B54" s="229" t="s">
        <v>149</v>
      </c>
      <c r="C54" s="376">
        <v>541</v>
      </c>
      <c r="D54" s="379">
        <v>70</v>
      </c>
      <c r="E54" s="238">
        <v>1</v>
      </c>
      <c r="F54" s="234">
        <v>1395103.42</v>
      </c>
      <c r="G54" s="235">
        <v>204458.68</v>
      </c>
      <c r="H54" s="235">
        <v>-13404.65</v>
      </c>
      <c r="I54" s="235">
        <v>6737.2</v>
      </c>
      <c r="J54" s="235">
        <v>0</v>
      </c>
      <c r="K54" s="235">
        <v>2325.12</v>
      </c>
      <c r="L54" s="235">
        <v>-24266.74</v>
      </c>
      <c r="M54" s="235"/>
      <c r="N54" s="235">
        <v>-620.73</v>
      </c>
      <c r="O54" s="235">
        <v>109544.85</v>
      </c>
      <c r="P54" s="235">
        <v>23226.400000000001</v>
      </c>
      <c r="Q54" s="235">
        <v>2344.25</v>
      </c>
      <c r="R54" s="235">
        <v>-1864.2</v>
      </c>
      <c r="S54" s="235">
        <v>65794.3</v>
      </c>
      <c r="T54" s="235">
        <v>4930.8999999999996</v>
      </c>
      <c r="U54" s="235">
        <v>96394.8</v>
      </c>
      <c r="V54" s="235">
        <v>8593.2000000000007</v>
      </c>
      <c r="W54" s="236">
        <f t="shared" si="0"/>
        <v>1879296.8</v>
      </c>
      <c r="X54" s="235">
        <v>563</v>
      </c>
      <c r="Y54" s="235">
        <v>0</v>
      </c>
      <c r="Z54" s="237">
        <v>2.3E-2</v>
      </c>
      <c r="AA54" s="235">
        <v>77</v>
      </c>
      <c r="AB54" s="235">
        <v>58</v>
      </c>
      <c r="AC54" s="235" t="s">
        <v>566</v>
      </c>
      <c r="AD54" s="235" t="s">
        <v>566</v>
      </c>
      <c r="AE54" s="235">
        <v>0</v>
      </c>
    </row>
    <row r="55" spans="1:31" x14ac:dyDescent="0.25">
      <c r="A55" s="111">
        <v>5486</v>
      </c>
      <c r="B55" s="229" t="s">
        <v>150</v>
      </c>
      <c r="C55" s="376">
        <v>1106</v>
      </c>
      <c r="D55" s="379">
        <v>75</v>
      </c>
      <c r="E55" s="238">
        <v>1</v>
      </c>
      <c r="F55" s="234">
        <v>2062250.37</v>
      </c>
      <c r="G55" s="235">
        <v>319890.67</v>
      </c>
      <c r="H55" s="235">
        <v>73145.649999999994</v>
      </c>
      <c r="I55" s="235">
        <v>9941.4500000000007</v>
      </c>
      <c r="J55" s="235">
        <v>0</v>
      </c>
      <c r="K55" s="235">
        <v>5558.84</v>
      </c>
      <c r="L55" s="235">
        <v>-26988.67</v>
      </c>
      <c r="M55" s="235"/>
      <c r="N55" s="235">
        <v>7735.29</v>
      </c>
      <c r="O55" s="235">
        <v>216489.5</v>
      </c>
      <c r="P55" s="235">
        <v>52691.12</v>
      </c>
      <c r="Q55" s="235">
        <v>13408.65</v>
      </c>
      <c r="R55" s="235">
        <v>-214.15</v>
      </c>
      <c r="S55" s="235">
        <v>145238.20000000001</v>
      </c>
      <c r="T55" s="235">
        <v>7565.9</v>
      </c>
      <c r="U55" s="235">
        <v>138350.70000000001</v>
      </c>
      <c r="V55" s="235">
        <v>50596.6</v>
      </c>
      <c r="W55" s="236">
        <f t="shared" si="0"/>
        <v>3075660.1200000006</v>
      </c>
      <c r="X55" s="235">
        <v>1619</v>
      </c>
      <c r="Y55" s="235">
        <v>107</v>
      </c>
      <c r="Z55" s="237">
        <v>0.122</v>
      </c>
      <c r="AA55" s="235">
        <v>126</v>
      </c>
      <c r="AB55" s="235">
        <v>96</v>
      </c>
      <c r="AC55" s="235" t="s">
        <v>566</v>
      </c>
      <c r="AD55" s="235" t="s">
        <v>566</v>
      </c>
      <c r="AE55" s="235">
        <v>0</v>
      </c>
    </row>
    <row r="56" spans="1:31" x14ac:dyDescent="0.25">
      <c r="A56" s="111">
        <v>5487</v>
      </c>
      <c r="B56" s="229" t="s">
        <v>151</v>
      </c>
      <c r="C56" s="376">
        <v>469</v>
      </c>
      <c r="D56" s="379">
        <v>75</v>
      </c>
      <c r="E56" s="238">
        <v>1</v>
      </c>
      <c r="F56" s="234">
        <v>939471.16</v>
      </c>
      <c r="G56" s="235">
        <v>168362.26</v>
      </c>
      <c r="H56" s="235">
        <v>8545.7999999999993</v>
      </c>
      <c r="I56" s="235">
        <v>1043.05</v>
      </c>
      <c r="J56" s="235">
        <v>0</v>
      </c>
      <c r="K56" s="235">
        <v>0</v>
      </c>
      <c r="L56" s="235">
        <v>-10289.620000000001</v>
      </c>
      <c r="M56" s="235"/>
      <c r="N56" s="235">
        <v>892.71</v>
      </c>
      <c r="O56" s="235">
        <v>84284.15</v>
      </c>
      <c r="P56" s="235">
        <v>17574.64</v>
      </c>
      <c r="Q56" s="235">
        <v>1070</v>
      </c>
      <c r="R56" s="235">
        <v>0</v>
      </c>
      <c r="S56" s="235">
        <v>90974.2</v>
      </c>
      <c r="T56" s="235">
        <v>0</v>
      </c>
      <c r="U56" s="235">
        <v>110045.7</v>
      </c>
      <c r="V56" s="235">
        <v>0</v>
      </c>
      <c r="W56" s="236">
        <f t="shared" si="0"/>
        <v>1411974.0499999996</v>
      </c>
      <c r="X56" s="235">
        <v>367</v>
      </c>
      <c r="Y56" s="235">
        <v>0</v>
      </c>
      <c r="Z56" s="237">
        <v>2.3E-2</v>
      </c>
      <c r="AA56" s="235">
        <v>52</v>
      </c>
      <c r="AB56" s="235">
        <v>52</v>
      </c>
      <c r="AC56" s="235" t="s">
        <v>566</v>
      </c>
      <c r="AD56" s="235" t="s">
        <v>566</v>
      </c>
      <c r="AE56" s="235">
        <v>0</v>
      </c>
    </row>
    <row r="57" spans="1:31" x14ac:dyDescent="0.25">
      <c r="A57" s="111">
        <v>5488</v>
      </c>
      <c r="B57" s="229" t="s">
        <v>152</v>
      </c>
      <c r="C57" s="376">
        <v>74</v>
      </c>
      <c r="D57" s="379">
        <v>75</v>
      </c>
      <c r="E57" s="238">
        <v>1</v>
      </c>
      <c r="F57" s="234">
        <v>125476.74</v>
      </c>
      <c r="G57" s="235">
        <v>15119.25</v>
      </c>
      <c r="H57" s="235">
        <v>27.25</v>
      </c>
      <c r="I57" s="235">
        <v>993.25</v>
      </c>
      <c r="J57" s="235">
        <v>0</v>
      </c>
      <c r="K57" s="235">
        <v>0</v>
      </c>
      <c r="L57" s="235">
        <v>-6.43</v>
      </c>
      <c r="M57" s="235"/>
      <c r="N57" s="235">
        <v>95.01</v>
      </c>
      <c r="O57" s="235">
        <v>12105</v>
      </c>
      <c r="P57" s="235">
        <v>2761.42</v>
      </c>
      <c r="Q57" s="235">
        <v>0</v>
      </c>
      <c r="R57" s="235">
        <v>0</v>
      </c>
      <c r="S57" s="235">
        <v>0</v>
      </c>
      <c r="T57" s="235">
        <v>0</v>
      </c>
      <c r="U57" s="235">
        <v>0</v>
      </c>
      <c r="V57" s="235">
        <v>0</v>
      </c>
      <c r="W57" s="236">
        <f t="shared" si="0"/>
        <v>156571.49000000002</v>
      </c>
      <c r="X57" s="235">
        <v>46</v>
      </c>
      <c r="Y57" s="235">
        <v>0</v>
      </c>
      <c r="Z57" s="237">
        <v>7.9000000000000001E-2</v>
      </c>
      <c r="AA57" s="235">
        <v>8</v>
      </c>
      <c r="AB57" s="235">
        <v>8</v>
      </c>
      <c r="AC57" s="235" t="s">
        <v>566</v>
      </c>
      <c r="AD57" s="235" t="s">
        <v>566</v>
      </c>
      <c r="AE57" s="235">
        <v>0</v>
      </c>
    </row>
    <row r="58" spans="1:31" x14ac:dyDescent="0.25">
      <c r="A58" s="111">
        <v>5489</v>
      </c>
      <c r="B58" s="229" t="s">
        <v>153</v>
      </c>
      <c r="C58" s="376">
        <v>828</v>
      </c>
      <c r="D58" s="379">
        <v>59.5</v>
      </c>
      <c r="E58" s="238">
        <v>1</v>
      </c>
      <c r="F58" s="234">
        <v>2495715.33</v>
      </c>
      <c r="G58" s="235">
        <v>688672.77</v>
      </c>
      <c r="H58" s="235">
        <v>1394118.35</v>
      </c>
      <c r="I58" s="235">
        <v>18538.5</v>
      </c>
      <c r="J58" s="235">
        <v>0</v>
      </c>
      <c r="K58" s="235">
        <v>3112.47</v>
      </c>
      <c r="L58" s="235">
        <v>-93928.21</v>
      </c>
      <c r="M58" s="235"/>
      <c r="N58" s="235">
        <v>129528.27</v>
      </c>
      <c r="O58" s="235">
        <v>312468.90000000002</v>
      </c>
      <c r="P58" s="235">
        <v>111783.06</v>
      </c>
      <c r="Q58" s="235">
        <v>9592.5</v>
      </c>
      <c r="R58" s="235">
        <v>-22131.63</v>
      </c>
      <c r="S58" s="235">
        <v>45485</v>
      </c>
      <c r="T58" s="235">
        <v>0</v>
      </c>
      <c r="U58" s="235">
        <v>84296.75</v>
      </c>
      <c r="V58" s="235">
        <v>263408.09999999998</v>
      </c>
      <c r="W58" s="236">
        <f t="shared" si="0"/>
        <v>5440660.1599999992</v>
      </c>
      <c r="X58" s="235">
        <v>290</v>
      </c>
      <c r="Y58" s="235">
        <v>0</v>
      </c>
      <c r="Z58" s="237">
        <v>6.5000000000000002E-2</v>
      </c>
      <c r="AA58" s="235">
        <v>97</v>
      </c>
      <c r="AB58" s="235">
        <v>66</v>
      </c>
      <c r="AC58" s="235" t="s">
        <v>566</v>
      </c>
      <c r="AD58" s="235" t="s">
        <v>566</v>
      </c>
      <c r="AE58" s="235">
        <v>0</v>
      </c>
    </row>
    <row r="59" spans="1:31" x14ac:dyDescent="0.25">
      <c r="A59" s="111">
        <v>5490</v>
      </c>
      <c r="B59" s="229" t="s">
        <v>154</v>
      </c>
      <c r="C59" s="376">
        <v>295</v>
      </c>
      <c r="D59" s="379">
        <v>76</v>
      </c>
      <c r="E59" s="238">
        <v>1</v>
      </c>
      <c r="F59" s="234">
        <v>484786.49</v>
      </c>
      <c r="G59" s="235">
        <v>85487.59</v>
      </c>
      <c r="H59" s="235">
        <v>7278.5</v>
      </c>
      <c r="I59" s="235">
        <v>1033.8499999999999</v>
      </c>
      <c r="J59" s="235">
        <v>0</v>
      </c>
      <c r="K59" s="235">
        <v>8307.6200000000008</v>
      </c>
      <c r="L59" s="235">
        <v>-26655.91</v>
      </c>
      <c r="M59" s="235"/>
      <c r="N59" s="235">
        <v>773.87</v>
      </c>
      <c r="O59" s="235">
        <v>50467.4</v>
      </c>
      <c r="P59" s="235">
        <v>8090.01</v>
      </c>
      <c r="Q59" s="235">
        <v>0</v>
      </c>
      <c r="R59" s="235">
        <v>-283.2</v>
      </c>
      <c r="S59" s="235">
        <v>15878.55</v>
      </c>
      <c r="T59" s="235">
        <v>0</v>
      </c>
      <c r="U59" s="235">
        <v>7044.8</v>
      </c>
      <c r="V59" s="235">
        <v>0</v>
      </c>
      <c r="W59" s="236">
        <f t="shared" si="0"/>
        <v>642209.57000000007</v>
      </c>
      <c r="X59" s="235">
        <v>667</v>
      </c>
      <c r="Y59" s="235">
        <v>0</v>
      </c>
      <c r="Z59" s="237">
        <v>0.02</v>
      </c>
      <c r="AA59" s="235">
        <v>40</v>
      </c>
      <c r="AB59" s="235">
        <v>25</v>
      </c>
      <c r="AC59" s="235" t="s">
        <v>566</v>
      </c>
      <c r="AD59" s="235" t="s">
        <v>566</v>
      </c>
      <c r="AE59" s="235">
        <v>0</v>
      </c>
    </row>
    <row r="60" spans="1:31" x14ac:dyDescent="0.25">
      <c r="A60" s="111">
        <v>5491</v>
      </c>
      <c r="B60" s="229" t="s">
        <v>155</v>
      </c>
      <c r="C60" s="376">
        <v>504</v>
      </c>
      <c r="D60" s="379">
        <v>76</v>
      </c>
      <c r="E60" s="238">
        <v>1</v>
      </c>
      <c r="F60" s="234">
        <v>634052.24</v>
      </c>
      <c r="G60" s="235">
        <v>118564.32</v>
      </c>
      <c r="H60" s="235">
        <v>-7329.5</v>
      </c>
      <c r="I60" s="235">
        <v>3830.2</v>
      </c>
      <c r="J60" s="235">
        <v>0</v>
      </c>
      <c r="K60" s="235">
        <v>2296.69</v>
      </c>
      <c r="L60" s="235">
        <v>-42954.87</v>
      </c>
      <c r="M60" s="235"/>
      <c r="N60" s="235">
        <v>-325.77999999999997</v>
      </c>
      <c r="O60" s="235">
        <v>97397.4</v>
      </c>
      <c r="P60" s="235">
        <v>14504.67</v>
      </c>
      <c r="Q60" s="235">
        <v>682.5</v>
      </c>
      <c r="R60" s="235">
        <v>0</v>
      </c>
      <c r="S60" s="235">
        <v>24357.8</v>
      </c>
      <c r="T60" s="235">
        <v>53004.3</v>
      </c>
      <c r="U60" s="235">
        <v>33959.599999999999</v>
      </c>
      <c r="V60" s="235">
        <v>0</v>
      </c>
      <c r="W60" s="236">
        <f t="shared" si="0"/>
        <v>932039.57000000007</v>
      </c>
      <c r="X60" s="235">
        <v>1978</v>
      </c>
      <c r="Y60" s="235">
        <v>504</v>
      </c>
      <c r="Z60" s="237">
        <v>0.14899999999999999</v>
      </c>
      <c r="AA60" s="235">
        <v>63</v>
      </c>
      <c r="AB60" s="235">
        <v>48</v>
      </c>
      <c r="AC60" s="235" t="s">
        <v>566</v>
      </c>
      <c r="AD60" s="235" t="s">
        <v>566</v>
      </c>
      <c r="AE60" s="235">
        <v>0</v>
      </c>
    </row>
    <row r="61" spans="1:31" x14ac:dyDescent="0.25">
      <c r="A61" s="111">
        <v>5492</v>
      </c>
      <c r="B61" s="229" t="s">
        <v>156</v>
      </c>
      <c r="C61" s="376">
        <v>947</v>
      </c>
      <c r="D61" s="379">
        <v>64</v>
      </c>
      <c r="E61" s="238">
        <v>0.3</v>
      </c>
      <c r="F61" s="234">
        <v>7167480.5999999996</v>
      </c>
      <c r="G61" s="235">
        <v>4450338.92</v>
      </c>
      <c r="H61" s="235">
        <v>5724</v>
      </c>
      <c r="I61" s="235">
        <v>3406.65</v>
      </c>
      <c r="J61" s="235">
        <v>0</v>
      </c>
      <c r="K61" s="235">
        <v>2205.7600000000002</v>
      </c>
      <c r="L61" s="235">
        <v>-45740.84</v>
      </c>
      <c r="M61" s="235"/>
      <c r="N61" s="235">
        <v>850.05</v>
      </c>
      <c r="O61" s="235">
        <v>77200.7</v>
      </c>
      <c r="P61" s="235">
        <v>36524.78</v>
      </c>
      <c r="Q61" s="235">
        <v>5974.3</v>
      </c>
      <c r="R61" s="235">
        <v>-7252.1</v>
      </c>
      <c r="S61" s="235">
        <v>125859.95</v>
      </c>
      <c r="T61" s="235">
        <v>99050</v>
      </c>
      <c r="U61" s="235">
        <v>65762</v>
      </c>
      <c r="V61" s="235">
        <v>7027.85</v>
      </c>
      <c r="W61" s="236">
        <f t="shared" si="0"/>
        <v>11994412.619999999</v>
      </c>
      <c r="X61" s="235">
        <v>2579</v>
      </c>
      <c r="Y61" s="235">
        <v>722</v>
      </c>
      <c r="Z61" s="237">
        <v>0.27700000000000002</v>
      </c>
      <c r="AA61" s="235">
        <v>95</v>
      </c>
      <c r="AB61" s="235">
        <v>57</v>
      </c>
      <c r="AC61" s="235" t="s">
        <v>566</v>
      </c>
      <c r="AD61" s="235" t="s">
        <v>566</v>
      </c>
      <c r="AE61" s="235">
        <v>0</v>
      </c>
    </row>
    <row r="62" spans="1:31" x14ac:dyDescent="0.25">
      <c r="A62" s="111">
        <v>5493</v>
      </c>
      <c r="B62" s="229" t="s">
        <v>157</v>
      </c>
      <c r="C62" s="376">
        <v>525</v>
      </c>
      <c r="D62" s="379">
        <v>73</v>
      </c>
      <c r="E62" s="238">
        <v>0.65</v>
      </c>
      <c r="F62" s="234">
        <v>999621.77</v>
      </c>
      <c r="G62" s="235">
        <v>93466.89</v>
      </c>
      <c r="H62" s="235">
        <v>20620.900000000001</v>
      </c>
      <c r="I62" s="235">
        <v>3441.1</v>
      </c>
      <c r="J62" s="235">
        <v>0</v>
      </c>
      <c r="K62" s="235">
        <v>0</v>
      </c>
      <c r="L62" s="235">
        <v>-11469.11</v>
      </c>
      <c r="M62" s="235"/>
      <c r="N62" s="235">
        <v>2240.14</v>
      </c>
      <c r="O62" s="235">
        <v>57982.05</v>
      </c>
      <c r="P62" s="235">
        <v>9926.52</v>
      </c>
      <c r="Q62" s="235">
        <v>5460.15</v>
      </c>
      <c r="R62" s="235">
        <v>-962.55</v>
      </c>
      <c r="S62" s="235">
        <v>53539.25</v>
      </c>
      <c r="T62" s="235">
        <v>47045.8</v>
      </c>
      <c r="U62" s="235">
        <v>60198</v>
      </c>
      <c r="V62" s="235">
        <v>55584.85</v>
      </c>
      <c r="W62" s="236">
        <f t="shared" si="0"/>
        <v>1396695.7599999998</v>
      </c>
      <c r="X62" s="235">
        <v>545</v>
      </c>
      <c r="Y62" s="235">
        <v>0</v>
      </c>
      <c r="Z62" s="237">
        <v>8.1000000000000003E-2</v>
      </c>
      <c r="AA62" s="235">
        <v>58</v>
      </c>
      <c r="AB62" s="235">
        <v>1</v>
      </c>
      <c r="AC62" s="235" t="s">
        <v>566</v>
      </c>
      <c r="AD62" s="235" t="s">
        <v>566</v>
      </c>
      <c r="AE62" s="235">
        <v>0</v>
      </c>
    </row>
    <row r="63" spans="1:31" x14ac:dyDescent="0.25">
      <c r="A63" s="111">
        <v>5495</v>
      </c>
      <c r="B63" s="229" t="s">
        <v>158</v>
      </c>
      <c r="C63" s="376">
        <v>3199</v>
      </c>
      <c r="D63" s="379">
        <v>72.5</v>
      </c>
      <c r="E63" s="238">
        <v>1</v>
      </c>
      <c r="F63" s="234">
        <v>5042277.93</v>
      </c>
      <c r="G63" s="235">
        <v>654204.42000000004</v>
      </c>
      <c r="H63" s="235">
        <v>180698.55</v>
      </c>
      <c r="I63" s="235">
        <v>16892.25</v>
      </c>
      <c r="J63" s="235">
        <v>83902.48</v>
      </c>
      <c r="K63" s="235">
        <v>32969.800000000003</v>
      </c>
      <c r="L63" s="235">
        <v>-138208.93</v>
      </c>
      <c r="M63" s="235"/>
      <c r="N63" s="235">
        <v>18395.43</v>
      </c>
      <c r="O63" s="235">
        <v>555131.4</v>
      </c>
      <c r="P63" s="235">
        <v>248255.6</v>
      </c>
      <c r="Q63" s="235">
        <v>102178.15</v>
      </c>
      <c r="R63" s="235">
        <v>-356.75</v>
      </c>
      <c r="S63" s="235">
        <v>245062.3</v>
      </c>
      <c r="T63" s="235">
        <v>138869.29999999999</v>
      </c>
      <c r="U63" s="235">
        <v>217812.95</v>
      </c>
      <c r="V63" s="235">
        <v>409229.2</v>
      </c>
      <c r="W63" s="236">
        <f t="shared" si="0"/>
        <v>7807314.0800000001</v>
      </c>
      <c r="X63" s="235">
        <v>380</v>
      </c>
      <c r="Y63" s="235">
        <v>0</v>
      </c>
      <c r="Z63" s="237">
        <v>9.0999999999999998E-2</v>
      </c>
      <c r="AA63" s="235">
        <v>421</v>
      </c>
      <c r="AB63" s="235">
        <v>146</v>
      </c>
      <c r="AC63" s="235" t="s">
        <v>566</v>
      </c>
      <c r="AD63" s="235" t="s">
        <v>566</v>
      </c>
      <c r="AE63" s="235">
        <v>0</v>
      </c>
    </row>
    <row r="64" spans="1:31" x14ac:dyDescent="0.25">
      <c r="A64" s="111">
        <v>5496</v>
      </c>
      <c r="B64" s="229" t="s">
        <v>159</v>
      </c>
      <c r="C64" s="376">
        <v>1910</v>
      </c>
      <c r="D64" s="379">
        <v>69.5</v>
      </c>
      <c r="E64" s="238">
        <v>1</v>
      </c>
      <c r="F64" s="234">
        <v>3428722.11</v>
      </c>
      <c r="G64" s="235">
        <v>390512.72</v>
      </c>
      <c r="H64" s="235">
        <v>103779.79</v>
      </c>
      <c r="I64" s="235">
        <v>17351.900000000001</v>
      </c>
      <c r="J64" s="235">
        <v>0</v>
      </c>
      <c r="K64" s="235">
        <v>12459.75</v>
      </c>
      <c r="L64" s="235">
        <v>-100269.89</v>
      </c>
      <c r="M64" s="235"/>
      <c r="N64" s="235">
        <v>11277.19</v>
      </c>
      <c r="O64" s="235">
        <v>397012.55</v>
      </c>
      <c r="P64" s="235">
        <v>128509.58</v>
      </c>
      <c r="Q64" s="235">
        <v>28304.1</v>
      </c>
      <c r="R64" s="235">
        <v>-618.20000000000005</v>
      </c>
      <c r="S64" s="235">
        <v>138263.04999999999</v>
      </c>
      <c r="T64" s="235">
        <v>20858.5</v>
      </c>
      <c r="U64" s="235">
        <v>137511.79999999999</v>
      </c>
      <c r="V64" s="235">
        <v>109361.05</v>
      </c>
      <c r="W64" s="236">
        <f t="shared" si="0"/>
        <v>4823035.9999999991</v>
      </c>
      <c r="X64" s="235">
        <v>371</v>
      </c>
      <c r="Y64" s="235">
        <v>0</v>
      </c>
      <c r="Z64" s="237">
        <v>0.06</v>
      </c>
      <c r="AA64" s="235">
        <v>278</v>
      </c>
      <c r="AB64" s="235">
        <v>149</v>
      </c>
      <c r="AC64" s="235" t="s">
        <v>566</v>
      </c>
      <c r="AD64" s="235" t="s">
        <v>566</v>
      </c>
      <c r="AE64" s="235">
        <v>0</v>
      </c>
    </row>
    <row r="65" spans="1:31" x14ac:dyDescent="0.25">
      <c r="A65" s="111">
        <v>5497</v>
      </c>
      <c r="B65" s="229" t="s">
        <v>160</v>
      </c>
      <c r="C65" s="376">
        <v>917</v>
      </c>
      <c r="D65" s="379">
        <v>66</v>
      </c>
      <c r="E65" s="238">
        <v>1</v>
      </c>
      <c r="F65" s="234">
        <v>1306202.24</v>
      </c>
      <c r="G65" s="235">
        <v>131462.10999999999</v>
      </c>
      <c r="H65" s="235">
        <v>14309.2</v>
      </c>
      <c r="I65" s="235">
        <v>2823.25</v>
      </c>
      <c r="J65" s="235">
        <v>0</v>
      </c>
      <c r="K65" s="235">
        <v>1881.04</v>
      </c>
      <c r="L65" s="235">
        <v>-46692.77</v>
      </c>
      <c r="M65" s="235"/>
      <c r="N65" s="235">
        <v>1595.01</v>
      </c>
      <c r="O65" s="235">
        <v>144794.15</v>
      </c>
      <c r="P65" s="235">
        <v>109551.77</v>
      </c>
      <c r="Q65" s="235">
        <v>3771.5</v>
      </c>
      <c r="R65" s="235">
        <v>-228.2</v>
      </c>
      <c r="S65" s="235">
        <v>72985</v>
      </c>
      <c r="T65" s="235">
        <v>12639.6</v>
      </c>
      <c r="U65" s="235">
        <v>16364.55</v>
      </c>
      <c r="V65" s="235">
        <v>249648.55</v>
      </c>
      <c r="W65" s="236">
        <f t="shared" si="0"/>
        <v>2021107.0000000002</v>
      </c>
      <c r="X65" s="235">
        <v>440</v>
      </c>
      <c r="Y65" s="235">
        <v>0</v>
      </c>
      <c r="Z65" s="237">
        <v>8.1000000000000003E-2</v>
      </c>
      <c r="AA65" s="235">
        <v>108</v>
      </c>
      <c r="AB65" s="235">
        <v>16</v>
      </c>
      <c r="AC65" s="235" t="s">
        <v>566</v>
      </c>
      <c r="AD65" s="235" t="s">
        <v>566</v>
      </c>
      <c r="AE65" s="235">
        <v>0</v>
      </c>
    </row>
    <row r="66" spans="1:31" x14ac:dyDescent="0.25">
      <c r="A66" s="111">
        <v>5498</v>
      </c>
      <c r="B66" s="229" t="s">
        <v>161</v>
      </c>
      <c r="C66" s="376">
        <v>2609</v>
      </c>
      <c r="D66" s="379">
        <v>70</v>
      </c>
      <c r="E66" s="238">
        <v>1</v>
      </c>
      <c r="F66" s="234">
        <v>4190123.88</v>
      </c>
      <c r="G66" s="235">
        <v>491420.3</v>
      </c>
      <c r="H66" s="235">
        <v>155786.35</v>
      </c>
      <c r="I66" s="235">
        <v>11416.65</v>
      </c>
      <c r="J66" s="235">
        <v>0</v>
      </c>
      <c r="K66" s="235">
        <v>4047.05</v>
      </c>
      <c r="L66" s="235">
        <v>-133005.95000000001</v>
      </c>
      <c r="M66" s="235"/>
      <c r="N66" s="235">
        <v>15566.36</v>
      </c>
      <c r="O66" s="235">
        <v>430514.2</v>
      </c>
      <c r="P66" s="235">
        <v>170685.91</v>
      </c>
      <c r="Q66" s="235">
        <v>29219.8</v>
      </c>
      <c r="R66" s="235">
        <v>-269.3</v>
      </c>
      <c r="S66" s="235">
        <v>175175</v>
      </c>
      <c r="T66" s="235">
        <v>10196.799999999999</v>
      </c>
      <c r="U66" s="235">
        <v>146701.6</v>
      </c>
      <c r="V66" s="235">
        <v>111167.3</v>
      </c>
      <c r="W66" s="236">
        <f t="shared" si="0"/>
        <v>5808745.9499999993</v>
      </c>
      <c r="X66" s="235">
        <v>763</v>
      </c>
      <c r="Y66" s="235">
        <v>0</v>
      </c>
      <c r="Z66" s="237">
        <v>0.1</v>
      </c>
      <c r="AA66" s="235">
        <v>328</v>
      </c>
      <c r="AB66" s="235">
        <v>44</v>
      </c>
      <c r="AC66" s="235" t="s">
        <v>566</v>
      </c>
      <c r="AD66" s="235" t="s">
        <v>566</v>
      </c>
      <c r="AE66" s="235">
        <v>0</v>
      </c>
    </row>
    <row r="67" spans="1:31" x14ac:dyDescent="0.25">
      <c r="A67" s="111">
        <v>5499</v>
      </c>
      <c r="B67" s="229" t="s">
        <v>162</v>
      </c>
      <c r="C67" s="376">
        <v>505</v>
      </c>
      <c r="D67" s="379">
        <v>68.5</v>
      </c>
      <c r="E67" s="238">
        <v>1</v>
      </c>
      <c r="F67" s="234">
        <v>1206251.51</v>
      </c>
      <c r="G67" s="235">
        <v>150388.78</v>
      </c>
      <c r="H67" s="235">
        <v>42642.95</v>
      </c>
      <c r="I67" s="235">
        <v>3358.05</v>
      </c>
      <c r="J67" s="235">
        <v>0</v>
      </c>
      <c r="K67" s="235">
        <v>2276.58</v>
      </c>
      <c r="L67" s="235">
        <v>-7125.74</v>
      </c>
      <c r="M67" s="235"/>
      <c r="N67" s="235">
        <v>4282.63</v>
      </c>
      <c r="O67" s="235">
        <v>110504.1</v>
      </c>
      <c r="P67" s="235">
        <v>11389.11</v>
      </c>
      <c r="Q67" s="235">
        <v>0</v>
      </c>
      <c r="R67" s="235">
        <v>-3532.2</v>
      </c>
      <c r="S67" s="235">
        <v>80206</v>
      </c>
      <c r="T67" s="235">
        <v>320476.2</v>
      </c>
      <c r="U67" s="235">
        <v>71311.850000000006</v>
      </c>
      <c r="V67" s="235">
        <v>27100.05</v>
      </c>
      <c r="W67" s="236">
        <f t="shared" si="0"/>
        <v>2019529.8700000003</v>
      </c>
      <c r="X67" s="235">
        <v>391</v>
      </c>
      <c r="Y67" s="235">
        <v>0</v>
      </c>
      <c r="Z67" s="237">
        <v>6.0000000000000001E-3</v>
      </c>
      <c r="AA67" s="235">
        <v>71</v>
      </c>
      <c r="AB67" s="235">
        <v>40</v>
      </c>
      <c r="AC67" s="235" t="s">
        <v>566</v>
      </c>
      <c r="AD67" s="235" t="s">
        <v>566</v>
      </c>
      <c r="AE67" s="235">
        <v>0</v>
      </c>
    </row>
    <row r="68" spans="1:31" x14ac:dyDescent="0.25">
      <c r="A68" s="111">
        <v>5501</v>
      </c>
      <c r="B68" s="229" t="s">
        <v>163</v>
      </c>
      <c r="C68" s="376">
        <v>1282</v>
      </c>
      <c r="D68" s="379">
        <v>64</v>
      </c>
      <c r="E68" s="238">
        <v>1</v>
      </c>
      <c r="F68" s="234">
        <v>2830921.13</v>
      </c>
      <c r="G68" s="235">
        <v>428914.08</v>
      </c>
      <c r="H68" s="235">
        <v>167413.4</v>
      </c>
      <c r="I68" s="235">
        <v>4148.95</v>
      </c>
      <c r="J68" s="235">
        <v>0</v>
      </c>
      <c r="K68" s="235">
        <v>1458.68</v>
      </c>
      <c r="L68" s="235">
        <v>-33264.660000000003</v>
      </c>
      <c r="M68" s="235"/>
      <c r="N68" s="235">
        <v>15972.21</v>
      </c>
      <c r="O68" s="235">
        <v>293416.2</v>
      </c>
      <c r="P68" s="235">
        <v>633.37</v>
      </c>
      <c r="Q68" s="235">
        <v>0</v>
      </c>
      <c r="R68" s="235">
        <v>-2005.7</v>
      </c>
      <c r="S68" s="235">
        <v>282313</v>
      </c>
      <c r="T68" s="235">
        <v>28173.9</v>
      </c>
      <c r="U68" s="235">
        <v>150747.75</v>
      </c>
      <c r="V68" s="235">
        <v>14116.75</v>
      </c>
      <c r="W68" s="236">
        <f t="shared" si="0"/>
        <v>4182959.06</v>
      </c>
      <c r="X68" s="235">
        <v>390</v>
      </c>
      <c r="Y68" s="235">
        <v>0</v>
      </c>
      <c r="Z68" s="237">
        <v>1.4E-2</v>
      </c>
      <c r="AA68" s="235">
        <v>166</v>
      </c>
      <c r="AB68" s="235">
        <v>83</v>
      </c>
      <c r="AC68" s="235" t="s">
        <v>566</v>
      </c>
      <c r="AD68" s="235" t="s">
        <v>566</v>
      </c>
      <c r="AE68" s="235">
        <v>0</v>
      </c>
    </row>
    <row r="69" spans="1:31" x14ac:dyDescent="0.25">
      <c r="A69" s="111">
        <v>5503</v>
      </c>
      <c r="B69" s="229" t="s">
        <v>164</v>
      </c>
      <c r="C69" s="376">
        <v>1327</v>
      </c>
      <c r="D69" s="379">
        <v>67</v>
      </c>
      <c r="E69" s="238">
        <v>1.2</v>
      </c>
      <c r="F69" s="234">
        <v>3103743.2</v>
      </c>
      <c r="G69" s="235">
        <v>621308.28</v>
      </c>
      <c r="H69" s="235">
        <v>3049093.5</v>
      </c>
      <c r="I69" s="235">
        <v>8763.75</v>
      </c>
      <c r="J69" s="235">
        <v>0</v>
      </c>
      <c r="K69" s="235">
        <v>3943.3</v>
      </c>
      <c r="L69" s="235">
        <v>-36346.620000000003</v>
      </c>
      <c r="M69" s="235"/>
      <c r="N69" s="235">
        <v>283680.92</v>
      </c>
      <c r="O69" s="235">
        <v>633694.55000000005</v>
      </c>
      <c r="P69" s="235">
        <v>89960.51</v>
      </c>
      <c r="Q69" s="235">
        <v>66106.850000000006</v>
      </c>
      <c r="R69" s="235">
        <v>-17410.849999999999</v>
      </c>
      <c r="S69" s="235">
        <v>73849.899999999994</v>
      </c>
      <c r="T69" s="235">
        <v>4645.5</v>
      </c>
      <c r="U69" s="235">
        <v>69896</v>
      </c>
      <c r="V69" s="235">
        <v>333874.40000000002</v>
      </c>
      <c r="W69" s="236">
        <f t="shared" si="0"/>
        <v>8288803.1900000004</v>
      </c>
      <c r="X69" s="235">
        <v>535</v>
      </c>
      <c r="Y69" s="235">
        <v>0</v>
      </c>
      <c r="Z69" s="237">
        <v>6.4000000000000001E-2</v>
      </c>
      <c r="AA69" s="235">
        <v>159</v>
      </c>
      <c r="AB69" s="235">
        <v>78</v>
      </c>
      <c r="AC69" s="235" t="s">
        <v>566</v>
      </c>
      <c r="AD69" s="235" t="s">
        <v>566</v>
      </c>
      <c r="AE69" s="235">
        <v>0</v>
      </c>
    </row>
    <row r="70" spans="1:31" x14ac:dyDescent="0.25">
      <c r="A70" s="111">
        <v>5511</v>
      </c>
      <c r="B70" s="229" t="s">
        <v>165</v>
      </c>
      <c r="C70" s="376">
        <v>1747</v>
      </c>
      <c r="D70" s="379">
        <v>70</v>
      </c>
      <c r="E70" s="238">
        <v>1</v>
      </c>
      <c r="F70" s="234">
        <v>3630211.33</v>
      </c>
      <c r="G70" s="235">
        <v>612843.73</v>
      </c>
      <c r="H70" s="235">
        <v>384808.35</v>
      </c>
      <c r="I70" s="235">
        <v>58773.35</v>
      </c>
      <c r="J70" s="235">
        <v>0</v>
      </c>
      <c r="K70" s="235">
        <v>50690.65</v>
      </c>
      <c r="L70" s="235">
        <v>-54165.99</v>
      </c>
      <c r="M70" s="235"/>
      <c r="N70" s="235">
        <v>41296.83</v>
      </c>
      <c r="O70" s="235">
        <v>432845.65</v>
      </c>
      <c r="P70" s="235">
        <v>81576.570000000007</v>
      </c>
      <c r="Q70" s="235">
        <v>21205.55</v>
      </c>
      <c r="R70" s="235">
        <v>-4185</v>
      </c>
      <c r="S70" s="235">
        <v>117897</v>
      </c>
      <c r="T70" s="235">
        <v>21018.400000000001</v>
      </c>
      <c r="U70" s="235">
        <v>63121.1</v>
      </c>
      <c r="V70" s="235">
        <v>461159.8</v>
      </c>
      <c r="W70" s="236">
        <f t="shared" si="0"/>
        <v>5919097.3200000003</v>
      </c>
      <c r="X70" s="235">
        <v>834</v>
      </c>
      <c r="Y70" s="235">
        <v>0</v>
      </c>
      <c r="Z70" s="237">
        <v>0.02</v>
      </c>
      <c r="AA70" s="235">
        <v>215</v>
      </c>
      <c r="AB70" s="235">
        <v>120</v>
      </c>
      <c r="AC70" s="235" t="s">
        <v>566</v>
      </c>
      <c r="AD70" s="235" t="s">
        <v>566</v>
      </c>
      <c r="AE70" s="235">
        <v>0</v>
      </c>
    </row>
    <row r="71" spans="1:31" x14ac:dyDescent="0.25">
      <c r="A71" s="111">
        <v>5512</v>
      </c>
      <c r="B71" s="229" t="s">
        <v>166</v>
      </c>
      <c r="C71" s="376">
        <v>1359</v>
      </c>
      <c r="D71" s="379">
        <v>79</v>
      </c>
      <c r="E71" s="238">
        <v>1</v>
      </c>
      <c r="F71" s="234">
        <v>2588002.89</v>
      </c>
      <c r="G71" s="235">
        <v>394577.28</v>
      </c>
      <c r="H71" s="235">
        <v>25291.9</v>
      </c>
      <c r="I71" s="235">
        <v>975.5</v>
      </c>
      <c r="J71" s="235">
        <v>0</v>
      </c>
      <c r="K71" s="235">
        <v>11375.73</v>
      </c>
      <c r="L71" s="235">
        <v>-20166.12</v>
      </c>
      <c r="M71" s="235"/>
      <c r="N71" s="235">
        <v>2445.46</v>
      </c>
      <c r="O71" s="235">
        <v>300368.7</v>
      </c>
      <c r="P71" s="235">
        <v>32386.639999999999</v>
      </c>
      <c r="Q71" s="235">
        <v>15275.85</v>
      </c>
      <c r="R71" s="235">
        <v>-205.9</v>
      </c>
      <c r="S71" s="235">
        <v>184219.75</v>
      </c>
      <c r="T71" s="235">
        <v>620.79999999999995</v>
      </c>
      <c r="U71" s="235">
        <v>211187.55</v>
      </c>
      <c r="V71" s="235">
        <v>81237.350000000006</v>
      </c>
      <c r="W71" s="236">
        <f t="shared" si="0"/>
        <v>3827593.38</v>
      </c>
      <c r="X71" s="235">
        <v>422</v>
      </c>
      <c r="Y71" s="235">
        <v>0</v>
      </c>
      <c r="Z71" s="237">
        <v>0.121</v>
      </c>
      <c r="AA71" s="235">
        <v>184</v>
      </c>
      <c r="AB71" s="235">
        <v>8</v>
      </c>
      <c r="AC71" s="235" t="s">
        <v>566</v>
      </c>
      <c r="AD71" s="235" t="s">
        <v>566</v>
      </c>
      <c r="AE71" s="235">
        <v>0</v>
      </c>
    </row>
    <row r="72" spans="1:31" x14ac:dyDescent="0.25">
      <c r="A72" s="111">
        <v>5514</v>
      </c>
      <c r="B72" s="229" t="s">
        <v>167</v>
      </c>
      <c r="C72" s="376">
        <v>1389</v>
      </c>
      <c r="D72" s="379">
        <v>72.5</v>
      </c>
      <c r="E72" s="238">
        <v>1</v>
      </c>
      <c r="F72" s="234">
        <v>2624572.62</v>
      </c>
      <c r="G72" s="235">
        <v>371137.06</v>
      </c>
      <c r="H72" s="235">
        <v>48215.6</v>
      </c>
      <c r="I72" s="235">
        <v>7658.15</v>
      </c>
      <c r="J72" s="235">
        <v>45412.1</v>
      </c>
      <c r="K72" s="235">
        <v>1805.7</v>
      </c>
      <c r="L72" s="235">
        <v>-80584.39</v>
      </c>
      <c r="M72" s="235"/>
      <c r="N72" s="235">
        <v>5201.7700000000004</v>
      </c>
      <c r="O72" s="235">
        <v>259192.2</v>
      </c>
      <c r="P72" s="235">
        <v>66656.52</v>
      </c>
      <c r="Q72" s="235">
        <v>15746</v>
      </c>
      <c r="R72" s="235">
        <v>-4173.8999999999996</v>
      </c>
      <c r="S72" s="235">
        <v>111726.45</v>
      </c>
      <c r="T72" s="235">
        <v>14695.1</v>
      </c>
      <c r="U72" s="235">
        <v>81855.649999999994</v>
      </c>
      <c r="V72" s="235">
        <v>16838.75</v>
      </c>
      <c r="W72" s="236">
        <f t="shared" si="0"/>
        <v>3585955.3800000008</v>
      </c>
      <c r="X72" s="235">
        <v>691</v>
      </c>
      <c r="Y72" s="235">
        <v>1010</v>
      </c>
      <c r="Z72" s="237">
        <v>6.3E-2</v>
      </c>
      <c r="AA72" s="235">
        <v>194</v>
      </c>
      <c r="AB72" s="235">
        <v>103</v>
      </c>
      <c r="AC72" s="235" t="s">
        <v>566</v>
      </c>
      <c r="AD72" s="235" t="s">
        <v>566</v>
      </c>
      <c r="AE72" s="235">
        <v>0</v>
      </c>
    </row>
    <row r="73" spans="1:31" x14ac:dyDescent="0.25">
      <c r="A73" s="111">
        <v>5515</v>
      </c>
      <c r="B73" s="229" t="s">
        <v>168</v>
      </c>
      <c r="C73" s="376">
        <v>893</v>
      </c>
      <c r="D73" s="379">
        <v>76</v>
      </c>
      <c r="E73" s="238">
        <v>1</v>
      </c>
      <c r="F73" s="234">
        <v>1843777.86</v>
      </c>
      <c r="G73" s="235">
        <v>251851.59</v>
      </c>
      <c r="H73" s="235">
        <v>54153.45</v>
      </c>
      <c r="I73" s="235">
        <v>10655</v>
      </c>
      <c r="J73" s="235">
        <v>0</v>
      </c>
      <c r="K73" s="235">
        <v>2648.64</v>
      </c>
      <c r="L73" s="235">
        <v>-40663.599999999999</v>
      </c>
      <c r="M73" s="235"/>
      <c r="N73" s="235">
        <v>6033.58</v>
      </c>
      <c r="O73" s="235">
        <v>193242.05</v>
      </c>
      <c r="P73" s="235">
        <v>21794.01</v>
      </c>
      <c r="Q73" s="235">
        <v>18224.55</v>
      </c>
      <c r="R73" s="235">
        <v>-365.05</v>
      </c>
      <c r="S73" s="235">
        <v>44110</v>
      </c>
      <c r="T73" s="235">
        <v>0</v>
      </c>
      <c r="U73" s="235">
        <v>80017.149999999994</v>
      </c>
      <c r="V73" s="235">
        <v>31578.15</v>
      </c>
      <c r="W73" s="236">
        <f t="shared" ref="W73:W136" si="1">SUM(F73:V73)</f>
        <v>2517057.38</v>
      </c>
      <c r="X73" s="235">
        <v>283</v>
      </c>
      <c r="Y73" s="235">
        <v>2</v>
      </c>
      <c r="Z73" s="237">
        <v>9.0999999999999998E-2</v>
      </c>
      <c r="AA73" s="235">
        <v>116</v>
      </c>
      <c r="AB73" s="235">
        <v>25</v>
      </c>
      <c r="AC73" s="235" t="s">
        <v>566</v>
      </c>
      <c r="AD73" s="235" t="s">
        <v>566</v>
      </c>
      <c r="AE73" s="235">
        <v>0</v>
      </c>
    </row>
    <row r="74" spans="1:31" x14ac:dyDescent="0.25">
      <c r="A74" s="111">
        <v>5516</v>
      </c>
      <c r="B74" s="229" t="s">
        <v>169</v>
      </c>
      <c r="C74" s="376">
        <v>2824</v>
      </c>
      <c r="D74" s="379">
        <v>76</v>
      </c>
      <c r="E74" s="238">
        <v>1.2</v>
      </c>
      <c r="F74" s="234">
        <v>6293187.25</v>
      </c>
      <c r="G74" s="235">
        <v>900285.9</v>
      </c>
      <c r="H74" s="235">
        <v>318852.40000000002</v>
      </c>
      <c r="I74" s="235">
        <v>8864.9500000000007</v>
      </c>
      <c r="J74" s="235">
        <v>70513.03</v>
      </c>
      <c r="K74" s="235">
        <v>44105.38</v>
      </c>
      <c r="L74" s="235">
        <v>-140770.29</v>
      </c>
      <c r="M74" s="235"/>
      <c r="N74" s="235">
        <v>30510.03</v>
      </c>
      <c r="O74" s="235">
        <v>791201.85</v>
      </c>
      <c r="P74" s="235">
        <v>185283.33</v>
      </c>
      <c r="Q74" s="235">
        <v>57859</v>
      </c>
      <c r="R74" s="235">
        <v>-5449.05</v>
      </c>
      <c r="S74" s="235">
        <v>273364.2</v>
      </c>
      <c r="T74" s="235">
        <v>10104.200000000001</v>
      </c>
      <c r="U74" s="235">
        <v>260229.35</v>
      </c>
      <c r="V74" s="235">
        <v>115755.75</v>
      </c>
      <c r="W74" s="236">
        <f t="shared" si="1"/>
        <v>9213897.2799999975</v>
      </c>
      <c r="X74" s="235">
        <v>291</v>
      </c>
      <c r="Y74" s="235">
        <v>28</v>
      </c>
      <c r="Z74" s="237">
        <v>7.1999999999999995E-2</v>
      </c>
      <c r="AA74" s="235">
        <v>350</v>
      </c>
      <c r="AB74" s="235">
        <v>42</v>
      </c>
      <c r="AC74" s="235" t="s">
        <v>566</v>
      </c>
      <c r="AD74" s="235" t="s">
        <v>566</v>
      </c>
      <c r="AE74" s="235">
        <v>0</v>
      </c>
    </row>
    <row r="75" spans="1:31" x14ac:dyDescent="0.25">
      <c r="A75" s="111">
        <v>5518</v>
      </c>
      <c r="B75" s="229" t="s">
        <v>170</v>
      </c>
      <c r="C75" s="376">
        <v>6816</v>
      </c>
      <c r="D75" s="379">
        <v>72.5</v>
      </c>
      <c r="E75" s="238">
        <v>1</v>
      </c>
      <c r="F75" s="234">
        <v>11849472.27</v>
      </c>
      <c r="G75" s="235">
        <v>1358456.84</v>
      </c>
      <c r="H75" s="235">
        <v>867702.4</v>
      </c>
      <c r="I75" s="235">
        <v>29114.9</v>
      </c>
      <c r="J75" s="235">
        <v>0</v>
      </c>
      <c r="K75" s="235">
        <v>40228.65</v>
      </c>
      <c r="L75" s="235">
        <v>-839944.38</v>
      </c>
      <c r="M75" s="235"/>
      <c r="N75" s="235">
        <v>83492.429999999993</v>
      </c>
      <c r="O75" s="235">
        <v>1268333.95</v>
      </c>
      <c r="P75" s="235">
        <v>287579.09999999998</v>
      </c>
      <c r="Q75" s="235">
        <v>91865.35</v>
      </c>
      <c r="R75" s="235">
        <v>-1849.4</v>
      </c>
      <c r="S75" s="235">
        <v>610753.75</v>
      </c>
      <c r="T75" s="235">
        <v>30429.4</v>
      </c>
      <c r="U75" s="235">
        <v>461961.15</v>
      </c>
      <c r="V75" s="235">
        <v>350836.7</v>
      </c>
      <c r="W75" s="236">
        <f t="shared" si="1"/>
        <v>16488433.109999998</v>
      </c>
      <c r="X75" s="235">
        <v>658</v>
      </c>
      <c r="Y75" s="235">
        <v>0</v>
      </c>
      <c r="Z75" s="237">
        <v>3.2000000000000001E-2</v>
      </c>
      <c r="AA75" s="235">
        <v>840</v>
      </c>
      <c r="AB75" s="235">
        <v>18</v>
      </c>
      <c r="AC75" s="235" t="s">
        <v>566</v>
      </c>
      <c r="AD75" s="235" t="s">
        <v>566</v>
      </c>
      <c r="AE75" s="235">
        <v>0</v>
      </c>
    </row>
    <row r="76" spans="1:31" x14ac:dyDescent="0.25">
      <c r="A76" s="111">
        <v>5520</v>
      </c>
      <c r="B76" s="229" t="s">
        <v>171</v>
      </c>
      <c r="C76" s="376">
        <v>1183</v>
      </c>
      <c r="D76" s="379">
        <v>72</v>
      </c>
      <c r="E76" s="238">
        <v>1</v>
      </c>
      <c r="F76" s="234">
        <v>2042783.45</v>
      </c>
      <c r="G76" s="235">
        <v>318912.61</v>
      </c>
      <c r="H76" s="235">
        <v>126932.05</v>
      </c>
      <c r="I76" s="235">
        <v>2277.1</v>
      </c>
      <c r="J76" s="235">
        <v>0</v>
      </c>
      <c r="K76" s="235">
        <v>1565.96</v>
      </c>
      <c r="L76" s="235">
        <v>-50944.53</v>
      </c>
      <c r="M76" s="235"/>
      <c r="N76" s="235">
        <v>12029.19</v>
      </c>
      <c r="O76" s="235">
        <v>234124.6</v>
      </c>
      <c r="P76" s="235">
        <v>-282.10000000000002</v>
      </c>
      <c r="Q76" s="235">
        <v>8950.1</v>
      </c>
      <c r="R76" s="235">
        <v>-1022.8</v>
      </c>
      <c r="S76" s="235">
        <v>140377.1</v>
      </c>
      <c r="T76" s="235">
        <v>12738.4</v>
      </c>
      <c r="U76" s="235">
        <v>80895.899999999994</v>
      </c>
      <c r="V76" s="235">
        <v>16066.15</v>
      </c>
      <c r="W76" s="236">
        <f t="shared" si="1"/>
        <v>2945403.18</v>
      </c>
      <c r="X76" s="235">
        <v>971</v>
      </c>
      <c r="Y76" s="235">
        <v>0</v>
      </c>
      <c r="Z76" s="237">
        <v>5.7000000000000002E-2</v>
      </c>
      <c r="AA76" s="235">
        <v>180</v>
      </c>
      <c r="AB76" s="235">
        <v>110</v>
      </c>
      <c r="AC76" s="235" t="s">
        <v>566</v>
      </c>
      <c r="AD76" s="235" t="s">
        <v>566</v>
      </c>
      <c r="AE76" s="235">
        <v>0</v>
      </c>
    </row>
    <row r="77" spans="1:31" x14ac:dyDescent="0.25">
      <c r="A77" s="111">
        <v>5521</v>
      </c>
      <c r="B77" s="229" t="s">
        <v>172</v>
      </c>
      <c r="C77" s="376">
        <v>1168</v>
      </c>
      <c r="D77" s="379">
        <v>73</v>
      </c>
      <c r="E77" s="238">
        <v>1</v>
      </c>
      <c r="F77" s="234">
        <v>2360247.9300000002</v>
      </c>
      <c r="G77" s="235">
        <v>288158.42</v>
      </c>
      <c r="H77" s="235">
        <v>128241.75</v>
      </c>
      <c r="I77" s="235">
        <v>17268.95</v>
      </c>
      <c r="J77" s="235">
        <v>0</v>
      </c>
      <c r="K77" s="235">
        <v>7177.2</v>
      </c>
      <c r="L77" s="235">
        <v>-18003.099999999999</v>
      </c>
      <c r="M77" s="235"/>
      <c r="N77" s="235">
        <v>13546.84</v>
      </c>
      <c r="O77" s="235">
        <v>294063.95</v>
      </c>
      <c r="P77" s="235">
        <v>81781.91</v>
      </c>
      <c r="Q77" s="235">
        <v>20903.400000000001</v>
      </c>
      <c r="R77" s="235">
        <v>-2042.35</v>
      </c>
      <c r="S77" s="235">
        <v>66023.600000000006</v>
      </c>
      <c r="T77" s="235">
        <v>0</v>
      </c>
      <c r="U77" s="235">
        <v>33749.85</v>
      </c>
      <c r="V77" s="235">
        <v>117657.7</v>
      </c>
      <c r="W77" s="236">
        <f t="shared" si="1"/>
        <v>3408776.0500000007</v>
      </c>
      <c r="X77" s="235">
        <v>376</v>
      </c>
      <c r="Y77" s="235">
        <v>0</v>
      </c>
      <c r="Z77" s="237">
        <v>1.2999999999999999E-2</v>
      </c>
      <c r="AA77" s="235">
        <v>130</v>
      </c>
      <c r="AB77" s="235">
        <v>44</v>
      </c>
      <c r="AC77" s="235" t="s">
        <v>566</v>
      </c>
      <c r="AD77" s="235" t="s">
        <v>566</v>
      </c>
      <c r="AE77" s="235">
        <v>0</v>
      </c>
    </row>
    <row r="78" spans="1:31" x14ac:dyDescent="0.25">
      <c r="A78" s="111">
        <v>5522</v>
      </c>
      <c r="B78" s="229" t="s">
        <v>173</v>
      </c>
      <c r="C78" s="376">
        <v>791</v>
      </c>
      <c r="D78" s="379">
        <v>75</v>
      </c>
      <c r="E78" s="238">
        <v>1</v>
      </c>
      <c r="F78" s="234">
        <v>1460614.45</v>
      </c>
      <c r="G78" s="235">
        <v>191810.02</v>
      </c>
      <c r="H78" s="235">
        <v>16461.7</v>
      </c>
      <c r="I78" s="235">
        <v>4682.3999999999996</v>
      </c>
      <c r="J78" s="235">
        <v>0</v>
      </c>
      <c r="K78" s="235">
        <v>7636.22</v>
      </c>
      <c r="L78" s="235">
        <v>-24145.11</v>
      </c>
      <c r="M78" s="235"/>
      <c r="N78" s="235">
        <v>1968.49</v>
      </c>
      <c r="O78" s="235">
        <v>155576.15</v>
      </c>
      <c r="P78" s="235">
        <v>6337.39</v>
      </c>
      <c r="Q78" s="235">
        <v>5510.9</v>
      </c>
      <c r="R78" s="235">
        <v>0</v>
      </c>
      <c r="S78" s="235">
        <v>74393.5</v>
      </c>
      <c r="T78" s="235">
        <v>26.2</v>
      </c>
      <c r="U78" s="235">
        <v>52986.25</v>
      </c>
      <c r="V78" s="235">
        <v>35588.449999999997</v>
      </c>
      <c r="W78" s="236">
        <f t="shared" si="1"/>
        <v>1989447.0099999993</v>
      </c>
      <c r="X78" s="235">
        <v>741</v>
      </c>
      <c r="Y78" s="235">
        <v>0</v>
      </c>
      <c r="Z78" s="237">
        <v>7.0999999999999994E-2</v>
      </c>
      <c r="AA78" s="235">
        <v>111</v>
      </c>
      <c r="AB78" s="235">
        <v>107</v>
      </c>
      <c r="AC78" s="235" t="s">
        <v>566</v>
      </c>
      <c r="AD78" s="235" t="s">
        <v>566</v>
      </c>
      <c r="AE78" s="235">
        <v>0</v>
      </c>
    </row>
    <row r="79" spans="1:31" x14ac:dyDescent="0.25">
      <c r="A79" s="111">
        <v>5523</v>
      </c>
      <c r="B79" s="229" t="s">
        <v>174</v>
      </c>
      <c r="C79" s="376">
        <v>2713</v>
      </c>
      <c r="D79" s="379">
        <v>72</v>
      </c>
      <c r="E79" s="238">
        <v>1.25</v>
      </c>
      <c r="F79" s="234">
        <v>5184639.49</v>
      </c>
      <c r="G79" s="235">
        <v>658563.39</v>
      </c>
      <c r="H79" s="235">
        <v>28402.65</v>
      </c>
      <c r="I79" s="235">
        <v>-6345.85</v>
      </c>
      <c r="J79" s="235">
        <v>0</v>
      </c>
      <c r="K79" s="235">
        <v>5385.48</v>
      </c>
      <c r="L79" s="235">
        <v>-41946.02</v>
      </c>
      <c r="M79" s="235"/>
      <c r="N79" s="235">
        <v>2053.46</v>
      </c>
      <c r="O79" s="235">
        <v>703755.75</v>
      </c>
      <c r="P79" s="235">
        <v>37862.379999999997</v>
      </c>
      <c r="Q79" s="235">
        <v>25730.799999999999</v>
      </c>
      <c r="R79" s="235">
        <v>-7810.85</v>
      </c>
      <c r="S79" s="235">
        <v>233924.15</v>
      </c>
      <c r="T79" s="235">
        <v>0</v>
      </c>
      <c r="U79" s="235">
        <v>82453</v>
      </c>
      <c r="V79" s="235">
        <v>3451.85</v>
      </c>
      <c r="W79" s="236">
        <f t="shared" si="1"/>
        <v>6910119.6800000016</v>
      </c>
      <c r="X79" s="235">
        <v>703</v>
      </c>
      <c r="Y79" s="235">
        <v>2713</v>
      </c>
      <c r="Z79" s="237">
        <v>3.3000000000000002E-2</v>
      </c>
      <c r="AA79" s="235">
        <v>382</v>
      </c>
      <c r="AB79" s="235">
        <v>129</v>
      </c>
      <c r="AC79" s="235" t="s">
        <v>566</v>
      </c>
      <c r="AD79" s="235" t="s">
        <v>566</v>
      </c>
      <c r="AE79" s="235">
        <v>0</v>
      </c>
    </row>
    <row r="80" spans="1:31" x14ac:dyDescent="0.25">
      <c r="A80" s="111">
        <v>5527</v>
      </c>
      <c r="B80" s="229" t="s">
        <v>175</v>
      </c>
      <c r="C80" s="376">
        <v>1145</v>
      </c>
      <c r="D80" s="379">
        <v>74</v>
      </c>
      <c r="E80" s="238">
        <v>1</v>
      </c>
      <c r="F80" s="234">
        <v>2515634.67</v>
      </c>
      <c r="G80" s="235">
        <v>440226.89</v>
      </c>
      <c r="H80" s="235">
        <v>14664.3</v>
      </c>
      <c r="I80" s="235">
        <v>6418.45</v>
      </c>
      <c r="J80" s="235">
        <v>0</v>
      </c>
      <c r="K80" s="235">
        <v>4341.7700000000004</v>
      </c>
      <c r="L80" s="235">
        <v>-25231.599999999999</v>
      </c>
      <c r="M80" s="235"/>
      <c r="N80" s="235">
        <v>1908.97</v>
      </c>
      <c r="O80" s="235">
        <v>253499.4</v>
      </c>
      <c r="P80" s="235">
        <v>29973.16</v>
      </c>
      <c r="Q80" s="235">
        <v>4157.75</v>
      </c>
      <c r="R80" s="235">
        <v>-794.25</v>
      </c>
      <c r="S80" s="235">
        <v>20411.650000000001</v>
      </c>
      <c r="T80" s="235">
        <v>0</v>
      </c>
      <c r="U80" s="235">
        <v>28666</v>
      </c>
      <c r="V80" s="235">
        <v>6635.45</v>
      </c>
      <c r="W80" s="236">
        <f t="shared" si="1"/>
        <v>3300512.6100000003</v>
      </c>
      <c r="X80" s="235">
        <v>368</v>
      </c>
      <c r="Y80" s="235">
        <v>0</v>
      </c>
      <c r="Z80" s="237">
        <v>5.1999999999999998E-2</v>
      </c>
      <c r="AA80" s="235">
        <v>162</v>
      </c>
      <c r="AB80" s="235">
        <v>11</v>
      </c>
      <c r="AC80" s="235" t="s">
        <v>566</v>
      </c>
      <c r="AD80" s="235" t="s">
        <v>566</v>
      </c>
      <c r="AE80" s="235">
        <v>0</v>
      </c>
    </row>
    <row r="81" spans="1:31" x14ac:dyDescent="0.25">
      <c r="A81" s="111">
        <v>5529</v>
      </c>
      <c r="B81" s="229" t="s">
        <v>176</v>
      </c>
      <c r="C81" s="376">
        <v>609</v>
      </c>
      <c r="D81" s="379">
        <v>71</v>
      </c>
      <c r="E81" s="238">
        <v>1</v>
      </c>
      <c r="F81" s="234">
        <v>1227835.17</v>
      </c>
      <c r="G81" s="235">
        <v>160200.98000000001</v>
      </c>
      <c r="H81" s="235">
        <v>79388.899999999994</v>
      </c>
      <c r="I81" s="235">
        <v>1778.5</v>
      </c>
      <c r="J81" s="235">
        <v>0</v>
      </c>
      <c r="K81" s="235">
        <v>269.37</v>
      </c>
      <c r="L81" s="235">
        <v>-30436.21</v>
      </c>
      <c r="M81" s="235"/>
      <c r="N81" s="235">
        <v>7556.57</v>
      </c>
      <c r="O81" s="235">
        <v>138496.95000000001</v>
      </c>
      <c r="P81" s="235">
        <v>18108.580000000002</v>
      </c>
      <c r="Q81" s="235">
        <v>5172.05</v>
      </c>
      <c r="R81" s="235">
        <v>-598.15</v>
      </c>
      <c r="S81" s="235">
        <v>72776</v>
      </c>
      <c r="T81" s="235">
        <v>0</v>
      </c>
      <c r="U81" s="235">
        <v>128895.2</v>
      </c>
      <c r="V81" s="235">
        <v>2488.6999999999998</v>
      </c>
      <c r="W81" s="236">
        <f t="shared" si="1"/>
        <v>1811932.61</v>
      </c>
      <c r="X81" s="235">
        <v>588</v>
      </c>
      <c r="Y81" s="235">
        <v>0</v>
      </c>
      <c r="Z81" s="237">
        <v>3.4000000000000002E-2</v>
      </c>
      <c r="AA81" s="235">
        <v>77</v>
      </c>
      <c r="AB81" s="235">
        <v>55</v>
      </c>
      <c r="AC81" s="235" t="s">
        <v>566</v>
      </c>
      <c r="AD81" s="235" t="s">
        <v>566</v>
      </c>
      <c r="AE81" s="235">
        <v>0</v>
      </c>
    </row>
    <row r="82" spans="1:31" x14ac:dyDescent="0.25">
      <c r="A82" s="111">
        <v>5530</v>
      </c>
      <c r="B82" s="229" t="s">
        <v>177</v>
      </c>
      <c r="C82" s="376">
        <v>575</v>
      </c>
      <c r="D82" s="379">
        <v>76</v>
      </c>
      <c r="E82" s="238">
        <v>1.2</v>
      </c>
      <c r="F82" s="234">
        <v>1234239.8400000001</v>
      </c>
      <c r="G82" s="235">
        <v>149420.9</v>
      </c>
      <c r="H82" s="235">
        <v>12427.75</v>
      </c>
      <c r="I82" s="235">
        <v>6845.3</v>
      </c>
      <c r="J82" s="235">
        <v>0</v>
      </c>
      <c r="K82" s="235">
        <v>418.91</v>
      </c>
      <c r="L82" s="235">
        <v>-7437.56</v>
      </c>
      <c r="M82" s="235"/>
      <c r="N82" s="235">
        <v>1794.29</v>
      </c>
      <c r="O82" s="235">
        <v>140314.25</v>
      </c>
      <c r="P82" s="235">
        <v>-2574.86</v>
      </c>
      <c r="Q82" s="235">
        <v>1400</v>
      </c>
      <c r="R82" s="235">
        <v>-109.1</v>
      </c>
      <c r="S82" s="235">
        <v>60296.1</v>
      </c>
      <c r="T82" s="235">
        <v>3370.9</v>
      </c>
      <c r="U82" s="235">
        <v>59333.2</v>
      </c>
      <c r="V82" s="235">
        <v>16415.55</v>
      </c>
      <c r="W82" s="236">
        <f t="shared" si="1"/>
        <v>1676155.4699999997</v>
      </c>
      <c r="X82" s="235">
        <v>570</v>
      </c>
      <c r="Y82" s="235">
        <v>0</v>
      </c>
      <c r="Z82" s="237">
        <v>0.04</v>
      </c>
      <c r="AA82" s="235">
        <v>94</v>
      </c>
      <c r="AB82" s="235">
        <v>42</v>
      </c>
      <c r="AC82" s="235" t="s">
        <v>566</v>
      </c>
      <c r="AD82" s="235" t="s">
        <v>566</v>
      </c>
      <c r="AE82" s="235">
        <v>0</v>
      </c>
    </row>
    <row r="83" spans="1:31" x14ac:dyDescent="0.25">
      <c r="A83" s="111">
        <v>5531</v>
      </c>
      <c r="B83" s="229" t="s">
        <v>178</v>
      </c>
      <c r="C83" s="376">
        <v>446</v>
      </c>
      <c r="D83" s="379">
        <v>74</v>
      </c>
      <c r="E83" s="238">
        <v>1</v>
      </c>
      <c r="F83" s="234">
        <v>350325.91</v>
      </c>
      <c r="G83" s="235">
        <v>41543.730000000003</v>
      </c>
      <c r="H83" s="235">
        <v>18035.75</v>
      </c>
      <c r="I83" s="235">
        <v>1606.85</v>
      </c>
      <c r="J83" s="235">
        <v>0</v>
      </c>
      <c r="K83" s="235">
        <v>0</v>
      </c>
      <c r="L83" s="235">
        <v>-4379.67</v>
      </c>
      <c r="M83" s="235"/>
      <c r="N83" s="235">
        <v>1828.7</v>
      </c>
      <c r="O83" s="235">
        <v>95517.55</v>
      </c>
      <c r="P83" s="235">
        <v>12943.1</v>
      </c>
      <c r="Q83" s="235">
        <v>1739.3</v>
      </c>
      <c r="R83" s="235">
        <v>-1279.9000000000001</v>
      </c>
      <c r="S83" s="235">
        <v>60444</v>
      </c>
      <c r="T83" s="235">
        <v>0</v>
      </c>
      <c r="U83" s="235">
        <v>46244.7</v>
      </c>
      <c r="V83" s="235">
        <v>13583.5</v>
      </c>
      <c r="W83" s="236">
        <f t="shared" si="1"/>
        <v>638153.51999999979</v>
      </c>
      <c r="X83" s="235">
        <v>570</v>
      </c>
      <c r="Y83" s="235">
        <v>0</v>
      </c>
      <c r="Z83" s="237">
        <v>0.03</v>
      </c>
      <c r="AA83" s="235">
        <v>58</v>
      </c>
      <c r="AB83" s="235">
        <v>58</v>
      </c>
      <c r="AC83" s="235" t="s">
        <v>566</v>
      </c>
      <c r="AD83" s="235" t="s">
        <v>566</v>
      </c>
      <c r="AE83" s="235">
        <v>0</v>
      </c>
    </row>
    <row r="84" spans="1:31" x14ac:dyDescent="0.25">
      <c r="A84" s="111">
        <v>5533</v>
      </c>
      <c r="B84" s="229" t="s">
        <v>179</v>
      </c>
      <c r="C84" s="376">
        <v>847</v>
      </c>
      <c r="D84" s="379">
        <v>73</v>
      </c>
      <c r="E84" s="238">
        <v>1</v>
      </c>
      <c r="F84" s="234">
        <v>1780465.26</v>
      </c>
      <c r="G84" s="235">
        <v>253087.61</v>
      </c>
      <c r="H84" s="235">
        <v>93477.25</v>
      </c>
      <c r="I84" s="235">
        <v>5581.85</v>
      </c>
      <c r="J84" s="235">
        <v>0</v>
      </c>
      <c r="K84" s="235">
        <v>258.41000000000003</v>
      </c>
      <c r="L84" s="235">
        <v>-15460.01</v>
      </c>
      <c r="M84" s="235"/>
      <c r="N84" s="235">
        <v>9003.48</v>
      </c>
      <c r="O84" s="235">
        <v>170028.35</v>
      </c>
      <c r="P84" s="235">
        <v>58419.72</v>
      </c>
      <c r="Q84" s="235">
        <v>9481.15</v>
      </c>
      <c r="R84" s="235">
        <v>-261.39999999999998</v>
      </c>
      <c r="S84" s="235">
        <v>130729.7</v>
      </c>
      <c r="T84" s="235">
        <v>135</v>
      </c>
      <c r="U84" s="235">
        <v>109006.6</v>
      </c>
      <c r="V84" s="235">
        <v>28726.05</v>
      </c>
      <c r="W84" s="236">
        <f t="shared" si="1"/>
        <v>2632679.0200000009</v>
      </c>
      <c r="X84" s="235">
        <v>498</v>
      </c>
      <c r="Y84" s="235">
        <v>711</v>
      </c>
      <c r="Z84" s="237">
        <v>5.3999999999999999E-2</v>
      </c>
      <c r="AA84" s="235">
        <v>133</v>
      </c>
      <c r="AB84" s="235">
        <v>46</v>
      </c>
      <c r="AC84" s="235" t="s">
        <v>566</v>
      </c>
      <c r="AD84" s="235" t="s">
        <v>566</v>
      </c>
      <c r="AE84" s="235">
        <v>0</v>
      </c>
    </row>
    <row r="85" spans="1:31" x14ac:dyDescent="0.25">
      <c r="A85" s="111">
        <v>5534</v>
      </c>
      <c r="B85" s="229" t="s">
        <v>180</v>
      </c>
      <c r="C85" s="376">
        <v>302</v>
      </c>
      <c r="D85" s="379">
        <v>73</v>
      </c>
      <c r="E85" s="238">
        <v>1</v>
      </c>
      <c r="F85" s="234">
        <v>548447.9</v>
      </c>
      <c r="G85" s="235">
        <v>180307.49</v>
      </c>
      <c r="H85" s="235">
        <v>68938.45</v>
      </c>
      <c r="I85" s="235">
        <v>6141.85</v>
      </c>
      <c r="J85" s="235">
        <v>0</v>
      </c>
      <c r="K85" s="235">
        <v>693.83</v>
      </c>
      <c r="L85" s="235">
        <v>-2596.0100000000002</v>
      </c>
      <c r="M85" s="235"/>
      <c r="N85" s="235">
        <v>6989.87</v>
      </c>
      <c r="O85" s="235">
        <v>87066.5</v>
      </c>
      <c r="P85" s="235">
        <v>-327.66000000000003</v>
      </c>
      <c r="Q85" s="235">
        <v>864.3</v>
      </c>
      <c r="R85" s="235">
        <v>-31.15</v>
      </c>
      <c r="S85" s="235">
        <v>15103.15</v>
      </c>
      <c r="T85" s="235">
        <v>0</v>
      </c>
      <c r="U85" s="235">
        <v>21385.599999999999</v>
      </c>
      <c r="V85" s="235">
        <v>25162.05</v>
      </c>
      <c r="W85" s="236">
        <f t="shared" si="1"/>
        <v>958146.16999999993</v>
      </c>
      <c r="X85" s="235">
        <v>199</v>
      </c>
      <c r="Y85" s="235">
        <v>0</v>
      </c>
      <c r="Z85" s="237">
        <v>0.10100000000000001</v>
      </c>
      <c r="AA85" s="235">
        <v>36</v>
      </c>
      <c r="AB85" s="235">
        <v>1</v>
      </c>
      <c r="AC85" s="235" t="s">
        <v>566</v>
      </c>
      <c r="AD85" s="235" t="s">
        <v>566</v>
      </c>
      <c r="AE85" s="235">
        <v>0</v>
      </c>
    </row>
    <row r="86" spans="1:31" x14ac:dyDescent="0.25">
      <c r="A86" s="111">
        <v>5535</v>
      </c>
      <c r="B86" s="229" t="s">
        <v>181</v>
      </c>
      <c r="C86" s="376">
        <v>838</v>
      </c>
      <c r="D86" s="379">
        <v>75</v>
      </c>
      <c r="E86" s="238">
        <v>1</v>
      </c>
      <c r="F86" s="234">
        <v>1510821.79</v>
      </c>
      <c r="G86" s="235">
        <v>256417.59</v>
      </c>
      <c r="H86" s="235">
        <v>12705.8</v>
      </c>
      <c r="I86" s="235">
        <v>1388.95</v>
      </c>
      <c r="J86" s="235">
        <v>0</v>
      </c>
      <c r="K86" s="235">
        <v>524.71</v>
      </c>
      <c r="L86" s="235">
        <v>-8194.02</v>
      </c>
      <c r="M86" s="235"/>
      <c r="N86" s="235">
        <v>1312.2</v>
      </c>
      <c r="O86" s="235">
        <v>160725.20000000001</v>
      </c>
      <c r="P86" s="235">
        <v>7324.16</v>
      </c>
      <c r="Q86" s="235">
        <v>1739.3</v>
      </c>
      <c r="R86" s="235">
        <v>-656.7</v>
      </c>
      <c r="S86" s="235">
        <v>147630.20000000001</v>
      </c>
      <c r="T86" s="235">
        <v>0</v>
      </c>
      <c r="U86" s="235">
        <v>91236.6</v>
      </c>
      <c r="V86" s="235">
        <v>66337.25</v>
      </c>
      <c r="W86" s="236">
        <f t="shared" si="1"/>
        <v>2249313.0299999998</v>
      </c>
      <c r="X86" s="235">
        <v>412</v>
      </c>
      <c r="Y86" s="235">
        <v>0</v>
      </c>
      <c r="Z86" s="237">
        <v>2.3E-2</v>
      </c>
      <c r="AA86" s="235">
        <v>106</v>
      </c>
      <c r="AB86" s="235">
        <v>104</v>
      </c>
      <c r="AC86" s="235" t="s">
        <v>566</v>
      </c>
      <c r="AD86" s="235" t="s">
        <v>566</v>
      </c>
      <c r="AE86" s="235">
        <v>0</v>
      </c>
    </row>
    <row r="87" spans="1:31" x14ac:dyDescent="0.25">
      <c r="A87" s="111">
        <v>5537</v>
      </c>
      <c r="B87" s="229" t="s">
        <v>182</v>
      </c>
      <c r="C87" s="376">
        <v>1334</v>
      </c>
      <c r="D87" s="379">
        <v>76</v>
      </c>
      <c r="E87" s="238">
        <v>1</v>
      </c>
      <c r="F87" s="234">
        <v>2416515.2400000002</v>
      </c>
      <c r="G87" s="235">
        <v>301003.55</v>
      </c>
      <c r="H87" s="235">
        <v>64257.65</v>
      </c>
      <c r="I87" s="235">
        <v>2388.85</v>
      </c>
      <c r="J87" s="235">
        <v>0</v>
      </c>
      <c r="K87" s="235">
        <v>0</v>
      </c>
      <c r="L87" s="235">
        <v>-19313.62</v>
      </c>
      <c r="M87" s="235"/>
      <c r="N87" s="235">
        <v>6204.7</v>
      </c>
      <c r="O87" s="235">
        <v>269453.5</v>
      </c>
      <c r="P87" s="235">
        <v>44416.3</v>
      </c>
      <c r="Q87" s="235">
        <v>6968.25</v>
      </c>
      <c r="R87" s="235">
        <v>-425.45</v>
      </c>
      <c r="S87" s="235">
        <v>107565</v>
      </c>
      <c r="T87" s="235">
        <v>14485.3</v>
      </c>
      <c r="U87" s="235">
        <v>103597.4</v>
      </c>
      <c r="V87" s="235">
        <v>11286.3</v>
      </c>
      <c r="W87" s="236">
        <f t="shared" si="1"/>
        <v>3328402.9699999993</v>
      </c>
      <c r="X87" s="235">
        <v>711</v>
      </c>
      <c r="Y87" s="235">
        <v>0</v>
      </c>
      <c r="Z87" s="237">
        <v>2.3E-2</v>
      </c>
      <c r="AA87" s="235">
        <v>205</v>
      </c>
      <c r="AB87" s="235">
        <v>25</v>
      </c>
      <c r="AC87" s="235" t="s">
        <v>566</v>
      </c>
      <c r="AD87" s="235" t="s">
        <v>566</v>
      </c>
      <c r="AE87" s="235">
        <v>0</v>
      </c>
    </row>
    <row r="88" spans="1:31" x14ac:dyDescent="0.25">
      <c r="A88" s="111">
        <v>5539</v>
      </c>
      <c r="B88" s="229" t="s">
        <v>183</v>
      </c>
      <c r="C88" s="376">
        <v>1113</v>
      </c>
      <c r="D88" s="379">
        <v>73.5</v>
      </c>
      <c r="E88" s="238">
        <v>0.8</v>
      </c>
      <c r="F88" s="234">
        <v>2248982.73</v>
      </c>
      <c r="G88" s="235">
        <v>260147.45</v>
      </c>
      <c r="H88" s="235">
        <v>22504.15</v>
      </c>
      <c r="I88" s="235">
        <v>2433.65</v>
      </c>
      <c r="J88" s="235">
        <v>0</v>
      </c>
      <c r="K88" s="235">
        <v>4212.42</v>
      </c>
      <c r="L88" s="235">
        <v>-52485.43</v>
      </c>
      <c r="M88" s="235"/>
      <c r="N88" s="235">
        <v>2321.67</v>
      </c>
      <c r="O88" s="235">
        <v>189543.55</v>
      </c>
      <c r="P88" s="235">
        <v>31897.75</v>
      </c>
      <c r="Q88" s="235">
        <v>6636.2</v>
      </c>
      <c r="R88" s="235">
        <v>-137.80000000000001</v>
      </c>
      <c r="S88" s="235">
        <v>126268.15</v>
      </c>
      <c r="T88" s="235">
        <v>0</v>
      </c>
      <c r="U88" s="235">
        <v>77291.8</v>
      </c>
      <c r="V88" s="235">
        <v>28846.45</v>
      </c>
      <c r="W88" s="236">
        <f t="shared" si="1"/>
        <v>2948462.7399999998</v>
      </c>
      <c r="X88" s="235">
        <v>895</v>
      </c>
      <c r="Y88" s="235">
        <v>0</v>
      </c>
      <c r="Z88" s="237">
        <v>0.02</v>
      </c>
      <c r="AA88" s="235">
        <v>172</v>
      </c>
      <c r="AB88" s="235">
        <v>172</v>
      </c>
      <c r="AC88" s="235" t="s">
        <v>566</v>
      </c>
      <c r="AD88" s="235" t="s">
        <v>566</v>
      </c>
      <c r="AE88" s="235">
        <v>0</v>
      </c>
    </row>
    <row r="89" spans="1:31" x14ac:dyDescent="0.25">
      <c r="A89" s="111">
        <v>5540</v>
      </c>
      <c r="B89" s="229" t="s">
        <v>184</v>
      </c>
      <c r="C89" s="376">
        <v>1856</v>
      </c>
      <c r="D89" s="379">
        <v>72.5</v>
      </c>
      <c r="E89" s="238">
        <v>0.8</v>
      </c>
      <c r="F89" s="234">
        <v>3579808.07</v>
      </c>
      <c r="G89" s="235">
        <v>622619.18999999994</v>
      </c>
      <c r="H89" s="235">
        <v>140218.70000000001</v>
      </c>
      <c r="I89" s="235">
        <v>10031.200000000001</v>
      </c>
      <c r="J89" s="235">
        <v>0</v>
      </c>
      <c r="K89" s="235">
        <v>14407.62</v>
      </c>
      <c r="L89" s="235">
        <v>-89187.58</v>
      </c>
      <c r="M89" s="235"/>
      <c r="N89" s="235">
        <v>13988.05</v>
      </c>
      <c r="O89" s="235">
        <v>302081.34999999998</v>
      </c>
      <c r="P89" s="235">
        <v>72824.94</v>
      </c>
      <c r="Q89" s="235">
        <v>14558.5</v>
      </c>
      <c r="R89" s="235">
        <v>-1075.05</v>
      </c>
      <c r="S89" s="235">
        <v>197730.45</v>
      </c>
      <c r="T89" s="235">
        <v>0</v>
      </c>
      <c r="U89" s="235">
        <v>172210.95</v>
      </c>
      <c r="V89" s="235">
        <v>19515</v>
      </c>
      <c r="W89" s="236">
        <f t="shared" si="1"/>
        <v>5069731.3900000006</v>
      </c>
      <c r="X89" s="235">
        <v>1183</v>
      </c>
      <c r="Y89" s="235">
        <v>224</v>
      </c>
      <c r="Z89" s="237">
        <v>5.5E-2</v>
      </c>
      <c r="AA89" s="235">
        <v>222</v>
      </c>
      <c r="AB89" s="235">
        <v>131</v>
      </c>
      <c r="AC89" s="235" t="s">
        <v>566</v>
      </c>
      <c r="AD89" s="235" t="s">
        <v>566</v>
      </c>
      <c r="AE89" s="235">
        <v>0</v>
      </c>
    </row>
    <row r="90" spans="1:31" x14ac:dyDescent="0.25">
      <c r="A90" s="111">
        <v>5541</v>
      </c>
      <c r="B90" s="229" t="s">
        <v>185</v>
      </c>
      <c r="C90" s="376">
        <v>1251</v>
      </c>
      <c r="D90" s="379">
        <v>75.5</v>
      </c>
      <c r="E90" s="238">
        <v>1</v>
      </c>
      <c r="F90" s="234">
        <v>2414355.35</v>
      </c>
      <c r="G90" s="235">
        <v>354041.17</v>
      </c>
      <c r="H90" s="235">
        <v>8042.45</v>
      </c>
      <c r="I90" s="235">
        <v>7852.7</v>
      </c>
      <c r="J90" s="235">
        <v>0</v>
      </c>
      <c r="K90" s="235">
        <v>46596.97</v>
      </c>
      <c r="L90" s="235">
        <v>-35357.050000000003</v>
      </c>
      <c r="M90" s="235"/>
      <c r="N90" s="235">
        <v>1479.82</v>
      </c>
      <c r="O90" s="235">
        <v>249469.35</v>
      </c>
      <c r="P90" s="235">
        <v>37470.28</v>
      </c>
      <c r="Q90" s="235">
        <v>4053.95</v>
      </c>
      <c r="R90" s="235">
        <v>-150.15</v>
      </c>
      <c r="S90" s="235">
        <v>66636.05</v>
      </c>
      <c r="T90" s="235">
        <v>129994.6</v>
      </c>
      <c r="U90" s="235">
        <v>39896.300000000003</v>
      </c>
      <c r="V90" s="235">
        <v>17346.599999999999</v>
      </c>
      <c r="W90" s="236">
        <f t="shared" si="1"/>
        <v>3341728.3900000006</v>
      </c>
      <c r="X90" s="235">
        <v>1063</v>
      </c>
      <c r="Y90" s="235">
        <v>0</v>
      </c>
      <c r="Z90" s="237">
        <v>2.9000000000000001E-2</v>
      </c>
      <c r="AA90" s="235">
        <v>221</v>
      </c>
      <c r="AB90" s="235">
        <v>120</v>
      </c>
      <c r="AC90" s="235" t="s">
        <v>566</v>
      </c>
      <c r="AD90" s="235" t="s">
        <v>566</v>
      </c>
      <c r="AE90" s="235">
        <v>0</v>
      </c>
    </row>
    <row r="91" spans="1:31" x14ac:dyDescent="0.25">
      <c r="A91" s="111">
        <v>5551</v>
      </c>
      <c r="B91" s="229" t="s">
        <v>186</v>
      </c>
      <c r="C91" s="376">
        <v>517</v>
      </c>
      <c r="D91" s="379">
        <v>67</v>
      </c>
      <c r="E91" s="238">
        <v>1</v>
      </c>
      <c r="F91" s="234">
        <v>960154.15</v>
      </c>
      <c r="G91" s="235">
        <v>194502.16</v>
      </c>
      <c r="H91" s="235">
        <v>127950.65</v>
      </c>
      <c r="I91" s="235">
        <v>36890.25</v>
      </c>
      <c r="J91" s="235">
        <v>0</v>
      </c>
      <c r="K91" s="235">
        <v>0</v>
      </c>
      <c r="L91" s="235">
        <v>-7203.65</v>
      </c>
      <c r="M91" s="235"/>
      <c r="N91" s="235">
        <v>15346.46</v>
      </c>
      <c r="O91" s="235">
        <v>126860.35</v>
      </c>
      <c r="P91" s="235">
        <v>3448.6</v>
      </c>
      <c r="Q91" s="235">
        <v>12501.2</v>
      </c>
      <c r="R91" s="235">
        <v>-91.5</v>
      </c>
      <c r="S91" s="235">
        <v>333140.59999999998</v>
      </c>
      <c r="T91" s="235">
        <v>220888.7</v>
      </c>
      <c r="U91" s="235">
        <v>25024.55</v>
      </c>
      <c r="V91" s="235">
        <v>8203</v>
      </c>
      <c r="W91" s="236">
        <f t="shared" si="1"/>
        <v>2057615.52</v>
      </c>
      <c r="X91" s="235">
        <v>741</v>
      </c>
      <c r="Y91" s="235">
        <v>23</v>
      </c>
      <c r="Z91" s="237">
        <v>0.155</v>
      </c>
      <c r="AA91" s="235">
        <v>53</v>
      </c>
      <c r="AB91" s="235">
        <v>30</v>
      </c>
      <c r="AC91" s="235" t="s">
        <v>566</v>
      </c>
      <c r="AD91" s="235" t="s">
        <v>566</v>
      </c>
      <c r="AE91" s="235">
        <v>0</v>
      </c>
    </row>
    <row r="92" spans="1:31" x14ac:dyDescent="0.25">
      <c r="A92" s="111">
        <v>5552</v>
      </c>
      <c r="B92" s="229" t="s">
        <v>187</v>
      </c>
      <c r="C92" s="376">
        <v>687</v>
      </c>
      <c r="D92" s="379">
        <v>72</v>
      </c>
      <c r="E92" s="238">
        <v>1</v>
      </c>
      <c r="F92" s="234">
        <v>997084.03</v>
      </c>
      <c r="G92" s="235">
        <v>276876.31</v>
      </c>
      <c r="H92" s="235">
        <v>59284.5</v>
      </c>
      <c r="I92" s="235">
        <v>2709.9</v>
      </c>
      <c r="J92" s="235">
        <v>0</v>
      </c>
      <c r="K92" s="235">
        <v>12855.69</v>
      </c>
      <c r="L92" s="235">
        <v>-51036.86</v>
      </c>
      <c r="M92" s="235"/>
      <c r="N92" s="235">
        <v>5771.59</v>
      </c>
      <c r="O92" s="235">
        <v>146632.15</v>
      </c>
      <c r="P92" s="235">
        <v>18429.05</v>
      </c>
      <c r="Q92" s="235">
        <v>-679.35</v>
      </c>
      <c r="R92" s="235">
        <v>-479.7</v>
      </c>
      <c r="S92" s="235">
        <v>88919.05</v>
      </c>
      <c r="T92" s="235">
        <v>101371.6</v>
      </c>
      <c r="U92" s="235">
        <v>75957.45</v>
      </c>
      <c r="V92" s="235">
        <v>101538.95</v>
      </c>
      <c r="W92" s="236">
        <f t="shared" si="1"/>
        <v>1835234.3599999999</v>
      </c>
      <c r="X92" s="235">
        <v>1681</v>
      </c>
      <c r="Y92" s="235">
        <v>687</v>
      </c>
      <c r="Z92" s="237">
        <v>0.16800000000000001</v>
      </c>
      <c r="AA92" s="235">
        <v>72</v>
      </c>
      <c r="AB92" s="235">
        <v>38</v>
      </c>
      <c r="AC92" s="235" t="s">
        <v>566</v>
      </c>
      <c r="AD92" s="235" t="s">
        <v>566</v>
      </c>
      <c r="AE92" s="235">
        <v>0</v>
      </c>
    </row>
    <row r="93" spans="1:31" x14ac:dyDescent="0.25">
      <c r="A93" s="111">
        <v>5553</v>
      </c>
      <c r="B93" s="229" t="s">
        <v>188</v>
      </c>
      <c r="C93" s="376">
        <v>1087</v>
      </c>
      <c r="D93" s="379">
        <v>65</v>
      </c>
      <c r="E93" s="238">
        <v>1</v>
      </c>
      <c r="F93" s="234">
        <v>1803309.09</v>
      </c>
      <c r="G93" s="235">
        <v>398433.63</v>
      </c>
      <c r="H93" s="235">
        <v>293014.75</v>
      </c>
      <c r="I93" s="235">
        <v>-2288.6</v>
      </c>
      <c r="J93" s="235">
        <v>0</v>
      </c>
      <c r="K93" s="235">
        <v>1651.92</v>
      </c>
      <c r="L93" s="235">
        <v>-14610.8</v>
      </c>
      <c r="M93" s="235"/>
      <c r="N93" s="235">
        <v>27066.2</v>
      </c>
      <c r="O93" s="235">
        <v>260645.75</v>
      </c>
      <c r="P93" s="235">
        <v>30516.57</v>
      </c>
      <c r="Q93" s="235">
        <v>38097.050000000003</v>
      </c>
      <c r="R93" s="235">
        <v>-3250.35</v>
      </c>
      <c r="S93" s="235">
        <v>36049.300000000003</v>
      </c>
      <c r="T93" s="235">
        <v>0</v>
      </c>
      <c r="U93" s="235">
        <v>25029.200000000001</v>
      </c>
      <c r="V93" s="235">
        <v>257661.75</v>
      </c>
      <c r="W93" s="236">
        <f t="shared" si="1"/>
        <v>3151325.46</v>
      </c>
      <c r="X93" s="235">
        <v>385</v>
      </c>
      <c r="Y93" s="235">
        <v>0</v>
      </c>
      <c r="Z93" s="237">
        <v>6.5000000000000002E-2</v>
      </c>
      <c r="AA93" s="235">
        <v>117</v>
      </c>
      <c r="AB93" s="235">
        <v>61</v>
      </c>
      <c r="AC93" s="235" t="s">
        <v>566</v>
      </c>
      <c r="AD93" s="235" t="s">
        <v>566</v>
      </c>
      <c r="AE93" s="235">
        <v>0</v>
      </c>
    </row>
    <row r="94" spans="1:31" x14ac:dyDescent="0.25">
      <c r="A94" s="111">
        <v>5554</v>
      </c>
      <c r="B94" s="229" t="s">
        <v>189</v>
      </c>
      <c r="C94" s="376">
        <v>1035</v>
      </c>
      <c r="D94" s="379">
        <v>69</v>
      </c>
      <c r="E94" s="238">
        <v>1</v>
      </c>
      <c r="F94" s="234">
        <v>1840846.1</v>
      </c>
      <c r="G94" s="235">
        <v>314055.2</v>
      </c>
      <c r="H94" s="235">
        <v>-14801.6</v>
      </c>
      <c r="I94" s="235">
        <v>2306.15</v>
      </c>
      <c r="J94" s="235">
        <v>0</v>
      </c>
      <c r="K94" s="235">
        <v>26872.85</v>
      </c>
      <c r="L94" s="235">
        <v>-23344.85</v>
      </c>
      <c r="M94" s="235"/>
      <c r="N94" s="235">
        <v>-1163.31</v>
      </c>
      <c r="O94" s="235">
        <v>203467.1</v>
      </c>
      <c r="P94" s="235">
        <v>35538.03</v>
      </c>
      <c r="Q94" s="235">
        <v>5308</v>
      </c>
      <c r="R94" s="235">
        <v>-2232.1</v>
      </c>
      <c r="S94" s="235">
        <v>166660.35</v>
      </c>
      <c r="T94" s="235">
        <v>4771.6000000000004</v>
      </c>
      <c r="U94" s="235">
        <v>116899.6</v>
      </c>
      <c r="V94" s="235">
        <v>44698.85</v>
      </c>
      <c r="W94" s="236">
        <f t="shared" si="1"/>
        <v>2719881.97</v>
      </c>
      <c r="X94" s="235">
        <v>1136</v>
      </c>
      <c r="Y94" s="235">
        <v>1</v>
      </c>
      <c r="Z94" s="237">
        <v>0.251</v>
      </c>
      <c r="AA94" s="235">
        <v>124</v>
      </c>
      <c r="AB94" s="235">
        <v>61</v>
      </c>
      <c r="AC94" s="235" t="s">
        <v>566</v>
      </c>
      <c r="AD94" s="235" t="s">
        <v>566</v>
      </c>
      <c r="AE94" s="235">
        <v>0</v>
      </c>
    </row>
    <row r="95" spans="1:31" x14ac:dyDescent="0.25">
      <c r="A95" s="111">
        <v>5555</v>
      </c>
      <c r="B95" s="229" t="s">
        <v>190</v>
      </c>
      <c r="C95" s="376">
        <v>439</v>
      </c>
      <c r="D95" s="379">
        <v>69</v>
      </c>
      <c r="E95" s="238">
        <v>1</v>
      </c>
      <c r="F95" s="234">
        <v>750376.85</v>
      </c>
      <c r="G95" s="235">
        <v>186079.15</v>
      </c>
      <c r="H95" s="235">
        <v>10110.35</v>
      </c>
      <c r="I95" s="235">
        <v>26035.1</v>
      </c>
      <c r="J95" s="235">
        <v>0</v>
      </c>
      <c r="K95" s="235">
        <v>58.02</v>
      </c>
      <c r="L95" s="235">
        <v>-15066.97</v>
      </c>
      <c r="M95" s="235"/>
      <c r="N95" s="235">
        <v>3365.09</v>
      </c>
      <c r="O95" s="235">
        <v>102725.45</v>
      </c>
      <c r="P95" s="235">
        <v>10901.46</v>
      </c>
      <c r="Q95" s="235">
        <v>2186.3000000000002</v>
      </c>
      <c r="R95" s="235">
        <v>-1579.9</v>
      </c>
      <c r="S95" s="235">
        <v>8421.5</v>
      </c>
      <c r="T95" s="235">
        <v>14749.5</v>
      </c>
      <c r="U95" s="235">
        <v>24339.1</v>
      </c>
      <c r="V95" s="235">
        <v>7296.7</v>
      </c>
      <c r="W95" s="236">
        <f t="shared" si="1"/>
        <v>1129997.7000000002</v>
      </c>
      <c r="X95" s="235">
        <v>405</v>
      </c>
      <c r="Y95" s="235">
        <v>0</v>
      </c>
      <c r="Z95" s="237">
        <v>0.23599999999999999</v>
      </c>
      <c r="AA95" s="235">
        <v>55</v>
      </c>
      <c r="AB95" s="235">
        <v>30</v>
      </c>
      <c r="AC95" s="235" t="s">
        <v>566</v>
      </c>
      <c r="AD95" s="235" t="s">
        <v>566</v>
      </c>
      <c r="AE95" s="235">
        <v>0</v>
      </c>
    </row>
    <row r="96" spans="1:31" x14ac:dyDescent="0.25">
      <c r="A96" s="111">
        <v>5556</v>
      </c>
      <c r="B96" s="229" t="s">
        <v>191</v>
      </c>
      <c r="C96" s="376">
        <v>421</v>
      </c>
      <c r="D96" s="379">
        <v>69</v>
      </c>
      <c r="E96" s="238">
        <v>1.2</v>
      </c>
      <c r="F96" s="234">
        <v>790161.76</v>
      </c>
      <c r="G96" s="235">
        <v>78917.08</v>
      </c>
      <c r="H96" s="235">
        <v>31680.400000000001</v>
      </c>
      <c r="I96" s="235">
        <v>847.5</v>
      </c>
      <c r="J96" s="235">
        <v>0</v>
      </c>
      <c r="K96" s="235">
        <v>0</v>
      </c>
      <c r="L96" s="235">
        <v>-164.38</v>
      </c>
      <c r="M96" s="235"/>
      <c r="N96" s="235">
        <v>3028.3</v>
      </c>
      <c r="O96" s="235">
        <v>94938.84</v>
      </c>
      <c r="P96" s="235">
        <v>3331.16</v>
      </c>
      <c r="Q96" s="235">
        <v>2161.65</v>
      </c>
      <c r="R96" s="235">
        <v>-24.25</v>
      </c>
      <c r="S96" s="235">
        <v>21285</v>
      </c>
      <c r="T96" s="235">
        <v>0</v>
      </c>
      <c r="U96" s="235">
        <v>24293.15</v>
      </c>
      <c r="V96" s="235">
        <v>0</v>
      </c>
      <c r="W96" s="236">
        <f t="shared" si="1"/>
        <v>1050456.21</v>
      </c>
      <c r="X96" s="235">
        <v>679</v>
      </c>
      <c r="Y96" s="235">
        <v>0</v>
      </c>
      <c r="Z96" s="237">
        <v>0.249</v>
      </c>
      <c r="AA96" s="235">
        <v>56</v>
      </c>
      <c r="AB96" s="235">
        <v>37</v>
      </c>
      <c r="AC96" s="235" t="s">
        <v>566</v>
      </c>
      <c r="AD96" s="235" t="s">
        <v>566</v>
      </c>
      <c r="AE96" s="235">
        <v>0</v>
      </c>
    </row>
    <row r="97" spans="1:31" x14ac:dyDescent="0.25">
      <c r="A97" s="111">
        <v>5557</v>
      </c>
      <c r="B97" s="229" t="s">
        <v>192</v>
      </c>
      <c r="C97" s="376">
        <v>228</v>
      </c>
      <c r="D97" s="379">
        <v>72</v>
      </c>
      <c r="E97" s="238">
        <v>1</v>
      </c>
      <c r="F97" s="234">
        <v>367279.58</v>
      </c>
      <c r="G97" s="235">
        <v>51830.239999999998</v>
      </c>
      <c r="H97" s="235">
        <v>45.800000000000097</v>
      </c>
      <c r="I97" s="235">
        <v>873.95</v>
      </c>
      <c r="J97" s="235">
        <v>0</v>
      </c>
      <c r="K97" s="235">
        <v>2197.17</v>
      </c>
      <c r="L97" s="235">
        <v>-5088.46</v>
      </c>
      <c r="M97" s="235"/>
      <c r="N97" s="235">
        <v>85.63</v>
      </c>
      <c r="O97" s="235">
        <v>37920.300000000003</v>
      </c>
      <c r="P97" s="235">
        <v>1445.7</v>
      </c>
      <c r="Q97" s="235">
        <v>892.45</v>
      </c>
      <c r="R97" s="235">
        <v>-15.85</v>
      </c>
      <c r="S97" s="235">
        <v>314.14999999999998</v>
      </c>
      <c r="T97" s="235">
        <v>9309.2999999999993</v>
      </c>
      <c r="U97" s="235">
        <v>0</v>
      </c>
      <c r="V97" s="235">
        <v>0</v>
      </c>
      <c r="W97" s="236">
        <f t="shared" si="1"/>
        <v>467089.96</v>
      </c>
      <c r="X97" s="235">
        <v>790</v>
      </c>
      <c r="Y97" s="235">
        <v>4</v>
      </c>
      <c r="Z97" s="237">
        <v>0.223</v>
      </c>
      <c r="AA97" s="235">
        <v>24</v>
      </c>
      <c r="AB97" s="235">
        <v>19</v>
      </c>
      <c r="AC97" s="235" t="s">
        <v>566</v>
      </c>
      <c r="AD97" s="235" t="s">
        <v>566</v>
      </c>
      <c r="AE97" s="235">
        <v>0</v>
      </c>
    </row>
    <row r="98" spans="1:31" x14ac:dyDescent="0.25">
      <c r="A98" s="111">
        <v>5559</v>
      </c>
      <c r="B98" s="229" t="s">
        <v>193</v>
      </c>
      <c r="C98" s="376">
        <v>464</v>
      </c>
      <c r="D98" s="379">
        <v>68</v>
      </c>
      <c r="E98" s="238">
        <v>1</v>
      </c>
      <c r="F98" s="234">
        <v>912649.65</v>
      </c>
      <c r="G98" s="235">
        <v>288586.46999999997</v>
      </c>
      <c r="H98" s="235">
        <v>254755.75</v>
      </c>
      <c r="I98" s="235">
        <v>10080.9</v>
      </c>
      <c r="J98" s="235">
        <v>0</v>
      </c>
      <c r="K98" s="235">
        <v>26224.27</v>
      </c>
      <c r="L98" s="235">
        <v>-32332.51</v>
      </c>
      <c r="M98" s="235"/>
      <c r="N98" s="235">
        <v>24655.919999999998</v>
      </c>
      <c r="O98" s="235">
        <v>103512.3</v>
      </c>
      <c r="P98" s="235">
        <v>6804.45</v>
      </c>
      <c r="Q98" s="235">
        <v>4390</v>
      </c>
      <c r="R98" s="235">
        <v>-311.05</v>
      </c>
      <c r="S98" s="235">
        <v>63143.8</v>
      </c>
      <c r="T98" s="235">
        <v>0</v>
      </c>
      <c r="U98" s="235">
        <v>79161.05</v>
      </c>
      <c r="V98" s="235">
        <v>8629.7999999999993</v>
      </c>
      <c r="W98" s="236">
        <f t="shared" si="1"/>
        <v>1749950.8</v>
      </c>
      <c r="X98" s="235">
        <v>473</v>
      </c>
      <c r="Y98" s="235">
        <v>0</v>
      </c>
      <c r="Z98" s="237">
        <v>0.08</v>
      </c>
      <c r="AA98" s="235">
        <v>52</v>
      </c>
      <c r="AB98" s="235">
        <v>34</v>
      </c>
      <c r="AC98" s="235" t="s">
        <v>566</v>
      </c>
      <c r="AD98" s="235" t="s">
        <v>566</v>
      </c>
      <c r="AE98" s="235">
        <v>0</v>
      </c>
    </row>
    <row r="99" spans="1:31" x14ac:dyDescent="0.25">
      <c r="A99" s="111">
        <v>5560</v>
      </c>
      <c r="B99" s="229" t="s">
        <v>194</v>
      </c>
      <c r="C99" s="376">
        <v>241</v>
      </c>
      <c r="D99" s="379">
        <v>71</v>
      </c>
      <c r="E99" s="238">
        <v>1</v>
      </c>
      <c r="F99" s="234">
        <v>365444.09</v>
      </c>
      <c r="G99" s="235">
        <v>67584.09</v>
      </c>
      <c r="H99" s="235">
        <v>2921.5</v>
      </c>
      <c r="I99" s="235">
        <v>1041.5</v>
      </c>
      <c r="J99" s="235">
        <v>0</v>
      </c>
      <c r="K99" s="235">
        <v>0</v>
      </c>
      <c r="L99" s="235">
        <v>-7441.62</v>
      </c>
      <c r="M99" s="235"/>
      <c r="N99" s="235">
        <v>368.95</v>
      </c>
      <c r="O99" s="235">
        <v>48741.7</v>
      </c>
      <c r="P99" s="235">
        <v>-1894.24</v>
      </c>
      <c r="Q99" s="235">
        <v>0</v>
      </c>
      <c r="R99" s="235">
        <v>0</v>
      </c>
      <c r="S99" s="235">
        <v>8922.35</v>
      </c>
      <c r="T99" s="235">
        <v>0</v>
      </c>
      <c r="U99" s="235">
        <v>11549.8</v>
      </c>
      <c r="V99" s="235">
        <v>0</v>
      </c>
      <c r="W99" s="236">
        <f t="shared" si="1"/>
        <v>497238.12000000005</v>
      </c>
      <c r="X99" s="235">
        <v>346</v>
      </c>
      <c r="Y99" s="235">
        <v>0</v>
      </c>
      <c r="Z99" s="237">
        <v>0.307</v>
      </c>
      <c r="AA99" s="235">
        <v>25</v>
      </c>
      <c r="AB99" s="235">
        <v>23</v>
      </c>
      <c r="AC99" s="235" t="s">
        <v>566</v>
      </c>
      <c r="AD99" s="235" t="s">
        <v>566</v>
      </c>
      <c r="AE99" s="235">
        <v>0</v>
      </c>
    </row>
    <row r="100" spans="1:31" x14ac:dyDescent="0.25">
      <c r="A100" s="111">
        <v>5561</v>
      </c>
      <c r="B100" s="229" t="s">
        <v>195</v>
      </c>
      <c r="C100" s="376">
        <v>3391</v>
      </c>
      <c r="D100" s="379">
        <v>69</v>
      </c>
      <c r="E100" s="238">
        <v>1</v>
      </c>
      <c r="F100" s="234">
        <v>6859644.1600000001</v>
      </c>
      <c r="G100" s="235">
        <v>1323048.03</v>
      </c>
      <c r="H100" s="235">
        <v>300076.45</v>
      </c>
      <c r="I100" s="235">
        <v>20846.5</v>
      </c>
      <c r="J100" s="235">
        <v>0</v>
      </c>
      <c r="K100" s="235">
        <v>29923.45</v>
      </c>
      <c r="L100" s="235">
        <v>-167982.81</v>
      </c>
      <c r="M100" s="235"/>
      <c r="N100" s="235">
        <v>30743.29</v>
      </c>
      <c r="O100" s="235">
        <v>714057.1</v>
      </c>
      <c r="P100" s="235">
        <v>149055.43</v>
      </c>
      <c r="Q100" s="235">
        <v>49529.65</v>
      </c>
      <c r="R100" s="235">
        <v>-46160.93</v>
      </c>
      <c r="S100" s="235">
        <v>424922.2</v>
      </c>
      <c r="T100" s="235">
        <v>208160</v>
      </c>
      <c r="U100" s="235">
        <v>237624.2</v>
      </c>
      <c r="V100" s="235">
        <v>451823.1</v>
      </c>
      <c r="W100" s="236">
        <f t="shared" si="1"/>
        <v>10585309.819999998</v>
      </c>
      <c r="X100" s="235">
        <v>768</v>
      </c>
      <c r="Y100" s="235">
        <v>0</v>
      </c>
      <c r="Z100" s="237">
        <v>5.3999999999999999E-2</v>
      </c>
      <c r="AA100" s="235">
        <v>374</v>
      </c>
      <c r="AB100" s="235">
        <v>105</v>
      </c>
      <c r="AC100" s="235" t="s">
        <v>566</v>
      </c>
      <c r="AD100" s="235" t="s">
        <v>566</v>
      </c>
      <c r="AE100" s="235">
        <v>0</v>
      </c>
    </row>
    <row r="101" spans="1:31" x14ac:dyDescent="0.25">
      <c r="A101" s="111">
        <v>5562</v>
      </c>
      <c r="B101" s="229" t="s">
        <v>196</v>
      </c>
      <c r="C101" s="376">
        <v>137</v>
      </c>
      <c r="D101" s="379">
        <v>70</v>
      </c>
      <c r="E101" s="238">
        <v>1.2</v>
      </c>
      <c r="F101" s="234">
        <v>257166.82</v>
      </c>
      <c r="G101" s="235">
        <v>119462.49</v>
      </c>
      <c r="H101" s="235">
        <v>3572.2</v>
      </c>
      <c r="I101" s="235">
        <v>1112.25</v>
      </c>
      <c r="J101" s="235">
        <v>0</v>
      </c>
      <c r="K101" s="235">
        <v>0</v>
      </c>
      <c r="L101" s="235">
        <v>-7022.64</v>
      </c>
      <c r="M101" s="235"/>
      <c r="N101" s="235">
        <v>436.12</v>
      </c>
      <c r="O101" s="235">
        <v>40173.5</v>
      </c>
      <c r="P101" s="235">
        <v>4211.37</v>
      </c>
      <c r="Q101" s="235">
        <v>2039.5</v>
      </c>
      <c r="R101" s="235">
        <v>-718.35</v>
      </c>
      <c r="S101" s="235">
        <v>17435</v>
      </c>
      <c r="T101" s="235">
        <v>19916.2</v>
      </c>
      <c r="U101" s="235">
        <v>0</v>
      </c>
      <c r="V101" s="235">
        <v>0</v>
      </c>
      <c r="W101" s="236">
        <f t="shared" si="1"/>
        <v>457784.46</v>
      </c>
      <c r="X101" s="235">
        <v>551</v>
      </c>
      <c r="Y101" s="235">
        <v>137</v>
      </c>
      <c r="Z101" s="237">
        <v>0.30099999999999999</v>
      </c>
      <c r="AA101" s="235">
        <v>8</v>
      </c>
      <c r="AB101" s="235">
        <v>8</v>
      </c>
      <c r="AC101" s="235" t="s">
        <v>566</v>
      </c>
      <c r="AD101" s="235" t="s">
        <v>566</v>
      </c>
      <c r="AE101" s="235">
        <v>0</v>
      </c>
    </row>
    <row r="102" spans="1:31" x14ac:dyDescent="0.25">
      <c r="A102" s="111">
        <v>5563</v>
      </c>
      <c r="B102" s="229" t="s">
        <v>77</v>
      </c>
      <c r="C102" s="376">
        <v>138</v>
      </c>
      <c r="D102" s="379">
        <v>80</v>
      </c>
      <c r="E102" s="238">
        <v>1</v>
      </c>
      <c r="F102" s="234">
        <v>224456.79</v>
      </c>
      <c r="G102" s="235">
        <v>39024.959999999999</v>
      </c>
      <c r="H102" s="235">
        <v>362.05</v>
      </c>
      <c r="I102" s="235">
        <v>833.45</v>
      </c>
      <c r="J102" s="235">
        <v>0</v>
      </c>
      <c r="K102" s="235">
        <v>0</v>
      </c>
      <c r="L102" s="235">
        <v>-50.7</v>
      </c>
      <c r="M102" s="235"/>
      <c r="N102" s="235">
        <v>111.3</v>
      </c>
      <c r="O102" s="235">
        <v>24007.8</v>
      </c>
      <c r="P102" s="235">
        <v>9939.6299999999992</v>
      </c>
      <c r="Q102" s="235">
        <v>0</v>
      </c>
      <c r="R102" s="235">
        <v>0</v>
      </c>
      <c r="S102" s="235">
        <v>11321.45</v>
      </c>
      <c r="T102" s="235">
        <v>0</v>
      </c>
      <c r="U102" s="235">
        <v>-9079.15</v>
      </c>
      <c r="V102" s="235">
        <v>534.29999999999995</v>
      </c>
      <c r="W102" s="236">
        <f t="shared" si="1"/>
        <v>301461.87999999995</v>
      </c>
      <c r="X102" s="235">
        <v>320</v>
      </c>
      <c r="Y102" s="235">
        <v>138</v>
      </c>
      <c r="Z102" s="237">
        <v>0.24399999999999999</v>
      </c>
      <c r="AA102" s="235">
        <v>18</v>
      </c>
      <c r="AB102" s="235">
        <v>18</v>
      </c>
      <c r="AC102" s="235" t="s">
        <v>566</v>
      </c>
      <c r="AD102" s="235" t="s">
        <v>566</v>
      </c>
      <c r="AE102" s="235">
        <v>0</v>
      </c>
    </row>
    <row r="103" spans="1:31" x14ac:dyDescent="0.25">
      <c r="A103" s="111">
        <v>5564</v>
      </c>
      <c r="B103" s="229" t="s">
        <v>197</v>
      </c>
      <c r="C103" s="376">
        <v>105</v>
      </c>
      <c r="D103" s="379">
        <v>76</v>
      </c>
      <c r="E103" s="238">
        <v>0.8</v>
      </c>
      <c r="F103" s="234">
        <v>156020.5</v>
      </c>
      <c r="G103" s="235">
        <v>13431.56</v>
      </c>
      <c r="H103" s="235">
        <v>307.14999999999998</v>
      </c>
      <c r="I103" s="235">
        <v>815.35</v>
      </c>
      <c r="J103" s="235">
        <v>0</v>
      </c>
      <c r="K103" s="235">
        <v>0</v>
      </c>
      <c r="L103" s="235">
        <v>-158.06</v>
      </c>
      <c r="M103" s="235"/>
      <c r="N103" s="235">
        <v>104.5</v>
      </c>
      <c r="O103" s="235">
        <v>12643.95</v>
      </c>
      <c r="P103" s="235">
        <v>0</v>
      </c>
      <c r="Q103" s="235">
        <v>0</v>
      </c>
      <c r="R103" s="235">
        <v>0</v>
      </c>
      <c r="S103" s="235">
        <v>7135.35</v>
      </c>
      <c r="T103" s="235">
        <v>0</v>
      </c>
      <c r="U103" s="235">
        <v>22220.25</v>
      </c>
      <c r="V103" s="235">
        <v>0</v>
      </c>
      <c r="W103" s="236">
        <f t="shared" si="1"/>
        <v>212520.55000000002</v>
      </c>
      <c r="X103" s="235">
        <v>201</v>
      </c>
      <c r="Y103" s="235">
        <v>0</v>
      </c>
      <c r="Z103" s="237">
        <v>0.40899999999999997</v>
      </c>
      <c r="AA103" s="235">
        <v>17</v>
      </c>
      <c r="AB103" s="235">
        <v>17</v>
      </c>
      <c r="AC103" s="235" t="s">
        <v>566</v>
      </c>
      <c r="AD103" s="235" t="s">
        <v>566</v>
      </c>
      <c r="AE103" s="235">
        <v>0</v>
      </c>
    </row>
    <row r="104" spans="1:31" x14ac:dyDescent="0.25">
      <c r="A104" s="111">
        <v>5565</v>
      </c>
      <c r="B104" s="229" t="s">
        <v>198</v>
      </c>
      <c r="C104" s="376">
        <v>527</v>
      </c>
      <c r="D104" s="379">
        <v>65</v>
      </c>
      <c r="E104" s="238">
        <v>1</v>
      </c>
      <c r="F104" s="234">
        <v>777388.57</v>
      </c>
      <c r="G104" s="235">
        <v>138066.45000000001</v>
      </c>
      <c r="H104" s="235">
        <v>31777.5</v>
      </c>
      <c r="I104" s="235">
        <v>31364.95</v>
      </c>
      <c r="J104" s="235">
        <v>0</v>
      </c>
      <c r="K104" s="235">
        <v>0</v>
      </c>
      <c r="L104" s="235">
        <v>-2517.41</v>
      </c>
      <c r="M104" s="235"/>
      <c r="N104" s="235">
        <v>5878.47</v>
      </c>
      <c r="O104" s="235">
        <v>138713.35</v>
      </c>
      <c r="P104" s="235">
        <v>8970.86</v>
      </c>
      <c r="Q104" s="235">
        <v>22127.7</v>
      </c>
      <c r="R104" s="235">
        <v>0</v>
      </c>
      <c r="S104" s="235">
        <v>68046.7</v>
      </c>
      <c r="T104" s="235">
        <v>0</v>
      </c>
      <c r="U104" s="235">
        <v>44406.3</v>
      </c>
      <c r="V104" s="235">
        <v>71007.8</v>
      </c>
      <c r="W104" s="236">
        <f t="shared" si="1"/>
        <v>1335231.24</v>
      </c>
      <c r="X104" s="235">
        <v>513</v>
      </c>
      <c r="Y104" s="235">
        <v>2</v>
      </c>
      <c r="Z104" s="237">
        <v>0.23899999999999999</v>
      </c>
      <c r="AA104" s="235">
        <v>65</v>
      </c>
      <c r="AB104" s="235">
        <v>53</v>
      </c>
      <c r="AC104" s="235" t="s">
        <v>566</v>
      </c>
      <c r="AD104" s="235" t="s">
        <v>566</v>
      </c>
      <c r="AE104" s="235">
        <v>0</v>
      </c>
    </row>
    <row r="105" spans="1:31" x14ac:dyDescent="0.25">
      <c r="A105" s="111">
        <v>5566</v>
      </c>
      <c r="B105" s="229" t="s">
        <v>199</v>
      </c>
      <c r="C105" s="376">
        <v>421</v>
      </c>
      <c r="D105" s="379">
        <v>81</v>
      </c>
      <c r="E105" s="238">
        <v>1.5</v>
      </c>
      <c r="F105" s="234">
        <v>637539.67000000004</v>
      </c>
      <c r="G105" s="235">
        <v>84328.53</v>
      </c>
      <c r="H105" s="235">
        <v>3745.45</v>
      </c>
      <c r="I105" s="235">
        <v>4238.8</v>
      </c>
      <c r="J105" s="235">
        <v>0</v>
      </c>
      <c r="K105" s="235">
        <v>0</v>
      </c>
      <c r="L105" s="235">
        <v>-5533.18</v>
      </c>
      <c r="M105" s="235"/>
      <c r="N105" s="235">
        <v>743.32</v>
      </c>
      <c r="O105" s="235">
        <v>102433.9</v>
      </c>
      <c r="P105" s="235">
        <v>34753.19</v>
      </c>
      <c r="Q105" s="235">
        <v>2126.9499999999998</v>
      </c>
      <c r="R105" s="235">
        <v>0</v>
      </c>
      <c r="S105" s="235">
        <v>24703.200000000001</v>
      </c>
      <c r="T105" s="235">
        <v>655.29999999999995</v>
      </c>
      <c r="U105" s="235">
        <v>47503.55</v>
      </c>
      <c r="V105" s="235">
        <v>47758.1</v>
      </c>
      <c r="W105" s="236">
        <f t="shared" si="1"/>
        <v>984996.77999999991</v>
      </c>
      <c r="X105" s="235">
        <v>3183</v>
      </c>
      <c r="Y105" s="235">
        <v>419</v>
      </c>
      <c r="Z105" s="237">
        <v>9.9000000000000005E-2</v>
      </c>
      <c r="AA105" s="235">
        <v>43</v>
      </c>
      <c r="AB105" s="235">
        <v>43</v>
      </c>
      <c r="AC105" s="235" t="s">
        <v>566</v>
      </c>
      <c r="AD105" s="235" t="s">
        <v>566</v>
      </c>
      <c r="AE105" s="235">
        <v>0</v>
      </c>
    </row>
    <row r="106" spans="1:31" x14ac:dyDescent="0.25">
      <c r="A106" s="111">
        <v>5568</v>
      </c>
      <c r="B106" s="229" t="s">
        <v>200</v>
      </c>
      <c r="C106" s="376">
        <v>5149</v>
      </c>
      <c r="D106" s="379">
        <v>70</v>
      </c>
      <c r="E106" s="238">
        <v>1</v>
      </c>
      <c r="F106" s="234">
        <v>5955306.1600000001</v>
      </c>
      <c r="G106" s="235">
        <v>854385.28</v>
      </c>
      <c r="H106" s="235">
        <v>447846.55</v>
      </c>
      <c r="I106" s="235">
        <v>71474.399999999994</v>
      </c>
      <c r="J106" s="235">
        <v>0</v>
      </c>
      <c r="K106" s="235">
        <v>126011.07</v>
      </c>
      <c r="L106" s="235">
        <v>-340274.06</v>
      </c>
      <c r="M106" s="235"/>
      <c r="N106" s="235">
        <v>48348.05</v>
      </c>
      <c r="O106" s="235">
        <v>717411.4</v>
      </c>
      <c r="P106" s="235">
        <v>184223.41</v>
      </c>
      <c r="Q106" s="235">
        <v>65738.7</v>
      </c>
      <c r="R106" s="235">
        <v>-717.1</v>
      </c>
      <c r="S106" s="235">
        <v>317511.25</v>
      </c>
      <c r="T106" s="235">
        <v>243562.2</v>
      </c>
      <c r="U106" s="235">
        <v>246992.25</v>
      </c>
      <c r="V106" s="235">
        <v>2851337.55</v>
      </c>
      <c r="W106" s="236">
        <f t="shared" si="1"/>
        <v>11789157.110000003</v>
      </c>
      <c r="X106" s="235">
        <v>3882</v>
      </c>
      <c r="Y106" s="235">
        <v>5140</v>
      </c>
      <c r="Z106" s="237">
        <v>0.29599999999999999</v>
      </c>
      <c r="AA106" s="235">
        <v>450</v>
      </c>
      <c r="AB106" s="235">
        <v>102</v>
      </c>
      <c r="AC106" s="235" t="s">
        <v>566</v>
      </c>
      <c r="AD106" s="235" t="s">
        <v>566</v>
      </c>
      <c r="AE106" s="235">
        <v>0</v>
      </c>
    </row>
    <row r="107" spans="1:31" x14ac:dyDescent="0.25">
      <c r="A107" s="111">
        <v>5571</v>
      </c>
      <c r="B107" s="229" t="s">
        <v>201</v>
      </c>
      <c r="C107" s="376">
        <v>857</v>
      </c>
      <c r="D107" s="379">
        <v>71.5</v>
      </c>
      <c r="E107" s="238">
        <v>1.2</v>
      </c>
      <c r="F107" s="234">
        <v>1475291.98</v>
      </c>
      <c r="G107" s="235">
        <v>246035.07</v>
      </c>
      <c r="H107" s="235">
        <v>10837.5</v>
      </c>
      <c r="I107" s="235">
        <v>1448.45</v>
      </c>
      <c r="J107" s="235">
        <v>0</v>
      </c>
      <c r="K107" s="235">
        <v>2673.8</v>
      </c>
      <c r="L107" s="235">
        <v>-10012.27</v>
      </c>
      <c r="M107" s="235"/>
      <c r="N107" s="235">
        <v>1143.8</v>
      </c>
      <c r="O107" s="235">
        <v>212693.2</v>
      </c>
      <c r="P107" s="235">
        <v>22119.35</v>
      </c>
      <c r="Q107" s="235">
        <v>9167.2000000000007</v>
      </c>
      <c r="R107" s="235">
        <v>-22.45</v>
      </c>
      <c r="S107" s="235">
        <v>116709.3</v>
      </c>
      <c r="T107" s="235">
        <v>92909.7</v>
      </c>
      <c r="U107" s="235">
        <v>89439.45</v>
      </c>
      <c r="V107" s="235">
        <v>39646.25</v>
      </c>
      <c r="W107" s="236">
        <f t="shared" si="1"/>
        <v>2310080.3300000005</v>
      </c>
      <c r="X107" s="235">
        <v>1431</v>
      </c>
      <c r="Y107" s="235">
        <v>625</v>
      </c>
      <c r="Z107" s="237">
        <v>0.23</v>
      </c>
      <c r="AA107" s="235">
        <v>106</v>
      </c>
      <c r="AB107" s="235">
        <v>106</v>
      </c>
      <c r="AC107" s="235" t="s">
        <v>566</v>
      </c>
      <c r="AD107" s="235" t="s">
        <v>566</v>
      </c>
      <c r="AE107" s="235">
        <v>0</v>
      </c>
    </row>
    <row r="108" spans="1:31" x14ac:dyDescent="0.25">
      <c r="A108" s="111">
        <v>5581</v>
      </c>
      <c r="B108" s="229" t="s">
        <v>202</v>
      </c>
      <c r="C108" s="376">
        <v>3891</v>
      </c>
      <c r="D108" s="379">
        <v>72</v>
      </c>
      <c r="E108" s="238">
        <v>1.5</v>
      </c>
      <c r="F108" s="234">
        <v>11887103.710000001</v>
      </c>
      <c r="G108" s="235">
        <v>2546003.39</v>
      </c>
      <c r="H108" s="235">
        <v>-149633.54999999999</v>
      </c>
      <c r="I108" s="235">
        <v>16314.45</v>
      </c>
      <c r="J108" s="235">
        <v>137964.04999999999</v>
      </c>
      <c r="K108" s="235">
        <v>46616.01</v>
      </c>
      <c r="L108" s="235">
        <v>-100668.96</v>
      </c>
      <c r="M108" s="235"/>
      <c r="N108" s="235">
        <v>-12411.82</v>
      </c>
      <c r="O108" s="235">
        <v>1621552.95</v>
      </c>
      <c r="P108" s="235">
        <v>211453.99</v>
      </c>
      <c r="Q108" s="235">
        <v>18562.400000000001</v>
      </c>
      <c r="R108" s="235">
        <v>-23553.8</v>
      </c>
      <c r="S108" s="235">
        <v>1136916.3999999999</v>
      </c>
      <c r="T108" s="235">
        <v>85186.6</v>
      </c>
      <c r="U108" s="235">
        <v>502708.15</v>
      </c>
      <c r="V108" s="235">
        <v>5661.45</v>
      </c>
      <c r="W108" s="236">
        <f t="shared" si="1"/>
        <v>17929775.419999998</v>
      </c>
      <c r="X108" s="235">
        <v>261</v>
      </c>
      <c r="Y108" s="235">
        <v>258</v>
      </c>
      <c r="Z108" s="237">
        <v>0.26300000000000001</v>
      </c>
      <c r="AA108" s="235">
        <v>442</v>
      </c>
      <c r="AB108" s="235">
        <v>97</v>
      </c>
      <c r="AC108" s="235">
        <v>1566933.96</v>
      </c>
      <c r="AD108" s="235">
        <v>-217422.07</v>
      </c>
      <c r="AE108" s="235">
        <v>1</v>
      </c>
    </row>
    <row r="109" spans="1:31" x14ac:dyDescent="0.25">
      <c r="A109" s="111">
        <v>5582</v>
      </c>
      <c r="B109" s="229" t="s">
        <v>203</v>
      </c>
      <c r="C109" s="376">
        <v>4870</v>
      </c>
      <c r="D109" s="379">
        <v>73</v>
      </c>
      <c r="E109" s="238">
        <v>1</v>
      </c>
      <c r="F109" s="234">
        <v>9975516.3599999994</v>
      </c>
      <c r="G109" s="235">
        <v>1193176.08</v>
      </c>
      <c r="H109" s="235">
        <v>440907.15</v>
      </c>
      <c r="I109" s="235">
        <v>252326.75</v>
      </c>
      <c r="J109" s="235">
        <v>0</v>
      </c>
      <c r="K109" s="235">
        <v>14272.22</v>
      </c>
      <c r="L109" s="235">
        <v>-95322.4</v>
      </c>
      <c r="M109" s="235"/>
      <c r="N109" s="235">
        <v>63556.91</v>
      </c>
      <c r="O109" s="235">
        <v>1098453.6000000001</v>
      </c>
      <c r="P109" s="235">
        <v>332200.71999999997</v>
      </c>
      <c r="Q109" s="235">
        <v>84630.45</v>
      </c>
      <c r="R109" s="235">
        <v>-7270.81</v>
      </c>
      <c r="S109" s="235">
        <v>322410.15000000002</v>
      </c>
      <c r="T109" s="235">
        <v>131620.9</v>
      </c>
      <c r="U109" s="235">
        <v>425956.7</v>
      </c>
      <c r="V109" s="235">
        <v>505776.35</v>
      </c>
      <c r="W109" s="236">
        <f t="shared" si="1"/>
        <v>14738211.129999999</v>
      </c>
      <c r="X109" s="235">
        <v>453</v>
      </c>
      <c r="Y109" s="235">
        <v>0</v>
      </c>
      <c r="Z109" s="237">
        <v>3.1E-2</v>
      </c>
      <c r="AA109" s="235">
        <v>530</v>
      </c>
      <c r="AB109" s="235">
        <v>21</v>
      </c>
      <c r="AC109" s="235" t="s">
        <v>566</v>
      </c>
      <c r="AD109" s="235" t="s">
        <v>566</v>
      </c>
      <c r="AE109" s="235">
        <v>0</v>
      </c>
    </row>
    <row r="110" spans="1:31" x14ac:dyDescent="0.25">
      <c r="A110" s="111">
        <v>5583</v>
      </c>
      <c r="B110" s="229" t="s">
        <v>204</v>
      </c>
      <c r="C110" s="376">
        <v>11116</v>
      </c>
      <c r="D110" s="379">
        <v>63.5</v>
      </c>
      <c r="E110" s="238">
        <v>1</v>
      </c>
      <c r="F110" s="234">
        <v>20591395.440000001</v>
      </c>
      <c r="G110" s="235">
        <v>2151763.94</v>
      </c>
      <c r="H110" s="235">
        <v>3910195.35</v>
      </c>
      <c r="I110" s="235">
        <v>377566.05</v>
      </c>
      <c r="J110" s="235">
        <v>0</v>
      </c>
      <c r="K110" s="235">
        <v>100021.12</v>
      </c>
      <c r="L110" s="235">
        <v>-475853.22</v>
      </c>
      <c r="M110" s="235"/>
      <c r="N110" s="235">
        <v>399184.57</v>
      </c>
      <c r="O110" s="235">
        <v>3775102.2</v>
      </c>
      <c r="P110" s="235">
        <v>1515103.22</v>
      </c>
      <c r="Q110" s="235">
        <v>449027.75</v>
      </c>
      <c r="R110" s="235">
        <v>-5699.05</v>
      </c>
      <c r="S110" s="235">
        <v>1009044.6</v>
      </c>
      <c r="T110" s="235">
        <v>-822886</v>
      </c>
      <c r="U110" s="235">
        <v>1380028.85</v>
      </c>
      <c r="V110" s="235">
        <v>3070245.7</v>
      </c>
      <c r="W110" s="236">
        <f t="shared" si="1"/>
        <v>37424240.520000011</v>
      </c>
      <c r="X110" s="235">
        <v>550</v>
      </c>
      <c r="Y110" s="235">
        <v>0</v>
      </c>
      <c r="Z110" s="237">
        <v>0.109</v>
      </c>
      <c r="AA110" s="235">
        <v>1208</v>
      </c>
      <c r="AB110" s="235">
        <v>36</v>
      </c>
      <c r="AC110" s="235">
        <v>5260710</v>
      </c>
      <c r="AD110" s="235">
        <v>-563839</v>
      </c>
      <c r="AE110" s="235">
        <v>1</v>
      </c>
    </row>
    <row r="111" spans="1:31" x14ac:dyDescent="0.25">
      <c r="A111" s="111">
        <v>5584</v>
      </c>
      <c r="B111" s="229" t="s">
        <v>205</v>
      </c>
      <c r="C111" s="376">
        <v>9869</v>
      </c>
      <c r="D111" s="379">
        <v>64.5</v>
      </c>
      <c r="E111" s="238">
        <v>1</v>
      </c>
      <c r="F111" s="234">
        <v>24408894.949999999</v>
      </c>
      <c r="G111" s="235">
        <v>5044311.88</v>
      </c>
      <c r="H111" s="235">
        <v>475120.4</v>
      </c>
      <c r="I111" s="235">
        <v>171386.45</v>
      </c>
      <c r="J111" s="235">
        <v>509484.37</v>
      </c>
      <c r="K111" s="235">
        <v>57422.43</v>
      </c>
      <c r="L111" s="235">
        <v>-208536.6</v>
      </c>
      <c r="M111" s="235"/>
      <c r="N111" s="235">
        <v>60649.72</v>
      </c>
      <c r="O111" s="235">
        <v>2797641.1</v>
      </c>
      <c r="P111" s="235">
        <v>624296.16</v>
      </c>
      <c r="Q111" s="235">
        <v>356424.1</v>
      </c>
      <c r="R111" s="235">
        <v>-539342.44999999995</v>
      </c>
      <c r="S111" s="235">
        <v>941466.35</v>
      </c>
      <c r="T111" s="235">
        <v>216741.4</v>
      </c>
      <c r="U111" s="235">
        <v>768063.05</v>
      </c>
      <c r="V111" s="235">
        <v>363716.55</v>
      </c>
      <c r="W111" s="236">
        <f t="shared" si="1"/>
        <v>36047739.859999985</v>
      </c>
      <c r="X111" s="235">
        <v>460</v>
      </c>
      <c r="Y111" s="235">
        <v>6546</v>
      </c>
      <c r="Z111" s="237">
        <v>0.17499999999999999</v>
      </c>
      <c r="AA111" s="235">
        <v>1143</v>
      </c>
      <c r="AB111" s="235">
        <v>156</v>
      </c>
      <c r="AC111" s="235">
        <v>4801233</v>
      </c>
      <c r="AD111" s="235">
        <v>-663252.6</v>
      </c>
      <c r="AE111" s="235">
        <v>0</v>
      </c>
    </row>
    <row r="112" spans="1:31" x14ac:dyDescent="0.25">
      <c r="A112" s="111">
        <v>5585</v>
      </c>
      <c r="B112" s="229" t="s">
        <v>206</v>
      </c>
      <c r="C112" s="376">
        <v>1455</v>
      </c>
      <c r="D112" s="379">
        <v>59</v>
      </c>
      <c r="E112" s="238">
        <v>1.5</v>
      </c>
      <c r="F112" s="234">
        <v>9383290.4900000002</v>
      </c>
      <c r="G112" s="235">
        <v>6215665.0599999996</v>
      </c>
      <c r="H112" s="235">
        <v>36123.599999999999</v>
      </c>
      <c r="I112" s="235">
        <v>7922.25</v>
      </c>
      <c r="J112" s="235">
        <v>536993.22</v>
      </c>
      <c r="K112" s="235">
        <v>26876.22</v>
      </c>
      <c r="L112" s="235">
        <v>-27771.88</v>
      </c>
      <c r="M112" s="235"/>
      <c r="N112" s="235">
        <v>4100.6099999999997</v>
      </c>
      <c r="O112" s="235">
        <v>976579.6</v>
      </c>
      <c r="P112" s="235">
        <v>56706.58</v>
      </c>
      <c r="Q112" s="235">
        <v>19426.5</v>
      </c>
      <c r="R112" s="235">
        <v>-22878.05</v>
      </c>
      <c r="S112" s="235">
        <v>498296.7</v>
      </c>
      <c r="T112" s="235">
        <v>30690</v>
      </c>
      <c r="U112" s="235">
        <v>634456.25</v>
      </c>
      <c r="V112" s="235">
        <v>2416.85</v>
      </c>
      <c r="W112" s="236">
        <f t="shared" si="1"/>
        <v>18378894</v>
      </c>
      <c r="X112" s="235">
        <v>191</v>
      </c>
      <c r="Y112" s="235">
        <v>0</v>
      </c>
      <c r="Z112" s="237">
        <v>9.9000000000000005E-2</v>
      </c>
      <c r="AA112" s="235">
        <v>152</v>
      </c>
      <c r="AB112" s="235">
        <v>29</v>
      </c>
      <c r="AC112" s="235" t="s">
        <v>566</v>
      </c>
      <c r="AD112" s="235" t="s">
        <v>566</v>
      </c>
      <c r="AE112" s="235">
        <v>0</v>
      </c>
    </row>
    <row r="113" spans="1:31" x14ac:dyDescent="0.25">
      <c r="A113" s="111">
        <v>5586</v>
      </c>
      <c r="B113" s="229" t="s">
        <v>69</v>
      </c>
      <c r="C113" s="376">
        <v>145707</v>
      </c>
      <c r="D113" s="379">
        <v>78.5</v>
      </c>
      <c r="E113" s="238">
        <v>1.5</v>
      </c>
      <c r="F113" s="234">
        <v>320630984.54000002</v>
      </c>
      <c r="G113" s="235">
        <v>50966566.140000001</v>
      </c>
      <c r="H113" s="235">
        <v>123034692.15000001</v>
      </c>
      <c r="I113" s="235">
        <v>8099709.5499999998</v>
      </c>
      <c r="J113" s="235">
        <v>5924716.8099999996</v>
      </c>
      <c r="K113" s="235">
        <v>2056485.33</v>
      </c>
      <c r="L113" s="235">
        <v>-7171778.5999999996</v>
      </c>
      <c r="M113" s="235"/>
      <c r="N113" s="235">
        <v>12021826.42</v>
      </c>
      <c r="O113" s="235">
        <v>48124736.350000001</v>
      </c>
      <c r="P113" s="235">
        <v>25845560.969999999</v>
      </c>
      <c r="Q113" s="235">
        <v>6861057.6500000004</v>
      </c>
      <c r="R113" s="235">
        <v>-2973139.25</v>
      </c>
      <c r="S113" s="235">
        <v>13731767.050000001</v>
      </c>
      <c r="T113" s="235">
        <v>19331516.899999999</v>
      </c>
      <c r="U113" s="235">
        <v>7977174.5499999998</v>
      </c>
      <c r="V113" s="235">
        <v>16707715.25</v>
      </c>
      <c r="W113" s="236">
        <f t="shared" si="1"/>
        <v>651169591.80999994</v>
      </c>
      <c r="X113" s="235">
        <v>4127</v>
      </c>
      <c r="Y113" s="235">
        <v>3869</v>
      </c>
      <c r="Z113" s="237">
        <v>0.106</v>
      </c>
      <c r="AA113" s="235">
        <v>14469</v>
      </c>
      <c r="AB113" s="235">
        <v>801</v>
      </c>
      <c r="AC113" s="235">
        <v>64092282.960000001</v>
      </c>
      <c r="AD113" s="235">
        <v>-9131482</v>
      </c>
      <c r="AE113" s="235">
        <v>1</v>
      </c>
    </row>
    <row r="114" spans="1:31" x14ac:dyDescent="0.25">
      <c r="A114" s="111">
        <v>5587</v>
      </c>
      <c r="B114" s="229" t="s">
        <v>70</v>
      </c>
      <c r="C114" s="376">
        <v>9785</v>
      </c>
      <c r="D114" s="379">
        <v>72</v>
      </c>
      <c r="E114" s="238">
        <v>1.2</v>
      </c>
      <c r="F114" s="234">
        <v>26558448.649999999</v>
      </c>
      <c r="G114" s="235">
        <v>4423872.83</v>
      </c>
      <c r="H114" s="235">
        <v>3913982.25</v>
      </c>
      <c r="I114" s="235">
        <v>328869.2</v>
      </c>
      <c r="J114" s="235">
        <v>-201438.5</v>
      </c>
      <c r="K114" s="235">
        <v>49934.080000000002</v>
      </c>
      <c r="L114" s="235">
        <v>-245546.33</v>
      </c>
      <c r="M114" s="235"/>
      <c r="N114" s="235">
        <v>395003.51</v>
      </c>
      <c r="O114" s="235">
        <v>3498581.65</v>
      </c>
      <c r="P114" s="235">
        <v>638108.67000000004</v>
      </c>
      <c r="Q114" s="235">
        <v>384834.75</v>
      </c>
      <c r="R114" s="235">
        <v>-103929.41</v>
      </c>
      <c r="S114" s="235">
        <v>1971861.8</v>
      </c>
      <c r="T114" s="235">
        <v>541454</v>
      </c>
      <c r="U114" s="235">
        <v>1077944.1000000001</v>
      </c>
      <c r="V114" s="235">
        <v>906820.8</v>
      </c>
      <c r="W114" s="236">
        <f t="shared" si="1"/>
        <v>44138802.049999997</v>
      </c>
      <c r="X114" s="235">
        <v>971</v>
      </c>
      <c r="Y114" s="235">
        <v>627</v>
      </c>
      <c r="Z114" s="237">
        <v>8.5000000000000006E-2</v>
      </c>
      <c r="AA114" s="235">
        <v>1311</v>
      </c>
      <c r="AB114" s="235">
        <v>47</v>
      </c>
      <c r="AC114" s="235">
        <v>3083742.96</v>
      </c>
      <c r="AD114" s="235">
        <v>-551035</v>
      </c>
      <c r="AE114" s="235">
        <v>0</v>
      </c>
    </row>
    <row r="115" spans="1:31" x14ac:dyDescent="0.25">
      <c r="A115" s="111">
        <v>5588</v>
      </c>
      <c r="B115" s="229" t="s">
        <v>207</v>
      </c>
      <c r="C115" s="376">
        <v>1483</v>
      </c>
      <c r="D115" s="379">
        <v>66.5</v>
      </c>
      <c r="E115" s="238">
        <v>0.7</v>
      </c>
      <c r="F115" s="234">
        <v>3703539.15</v>
      </c>
      <c r="G115" s="235">
        <v>1310369.02</v>
      </c>
      <c r="H115" s="235">
        <v>341786</v>
      </c>
      <c r="I115" s="235">
        <v>420494.5</v>
      </c>
      <c r="J115" s="235">
        <v>825167.75</v>
      </c>
      <c r="K115" s="235">
        <v>689.34</v>
      </c>
      <c r="L115" s="235">
        <v>-46709.2</v>
      </c>
      <c r="M115" s="235"/>
      <c r="N115" s="235">
        <v>70967.240000000005</v>
      </c>
      <c r="O115" s="235">
        <v>422731.1</v>
      </c>
      <c r="P115" s="235">
        <v>383042.92</v>
      </c>
      <c r="Q115" s="235">
        <v>-61785.5</v>
      </c>
      <c r="R115" s="235">
        <v>-11612.61</v>
      </c>
      <c r="S115" s="235">
        <v>336969.45</v>
      </c>
      <c r="T115" s="235">
        <v>0</v>
      </c>
      <c r="U115" s="235">
        <v>343280.95</v>
      </c>
      <c r="V115" s="235">
        <v>29259.45</v>
      </c>
      <c r="W115" s="236">
        <f t="shared" si="1"/>
        <v>8068189.5599999996</v>
      </c>
      <c r="X115" s="235">
        <v>50</v>
      </c>
      <c r="Y115" s="235">
        <v>0</v>
      </c>
      <c r="Z115" s="237">
        <v>0.248</v>
      </c>
      <c r="AA115" s="235">
        <v>138</v>
      </c>
      <c r="AB115" s="235">
        <v>1</v>
      </c>
      <c r="AC115" s="235">
        <v>546318.96</v>
      </c>
      <c r="AD115" s="235">
        <v>-87554</v>
      </c>
      <c r="AE115" s="235">
        <v>1</v>
      </c>
    </row>
    <row r="116" spans="1:31" x14ac:dyDescent="0.25">
      <c r="A116" s="111">
        <v>5589</v>
      </c>
      <c r="B116" s="229" t="s">
        <v>208</v>
      </c>
      <c r="C116" s="376">
        <v>13069</v>
      </c>
      <c r="D116" s="379">
        <v>72.5</v>
      </c>
      <c r="E116" s="238">
        <v>1.3</v>
      </c>
      <c r="F116" s="234">
        <v>21071772.940000001</v>
      </c>
      <c r="G116" s="235">
        <v>2390706.08</v>
      </c>
      <c r="H116" s="235">
        <v>6902709.9000000004</v>
      </c>
      <c r="I116" s="235">
        <v>295030.59999999998</v>
      </c>
      <c r="J116" s="235">
        <v>-123764.6</v>
      </c>
      <c r="K116" s="235">
        <v>61817.03</v>
      </c>
      <c r="L116" s="235">
        <v>-621934.98</v>
      </c>
      <c r="M116" s="235"/>
      <c r="N116" s="235">
        <v>662541.29</v>
      </c>
      <c r="O116" s="235">
        <v>3511664.3</v>
      </c>
      <c r="P116" s="235">
        <v>1505163.45</v>
      </c>
      <c r="Q116" s="235">
        <v>387406</v>
      </c>
      <c r="R116" s="235">
        <v>-90659.199999999997</v>
      </c>
      <c r="S116" s="235">
        <v>2288209.35</v>
      </c>
      <c r="T116" s="235">
        <v>144425.20000000001</v>
      </c>
      <c r="U116" s="235">
        <v>557284.19999999995</v>
      </c>
      <c r="V116" s="235">
        <v>1852716.65</v>
      </c>
      <c r="W116" s="236">
        <f t="shared" si="1"/>
        <v>40795088.210000008</v>
      </c>
      <c r="X116" s="235">
        <v>219</v>
      </c>
      <c r="Y116" s="235">
        <v>0</v>
      </c>
      <c r="Z116" s="237">
        <v>9.4E-2</v>
      </c>
      <c r="AA116" s="235">
        <v>1300</v>
      </c>
      <c r="AB116" s="235">
        <v>24</v>
      </c>
      <c r="AC116" s="235">
        <v>4163331</v>
      </c>
      <c r="AD116" s="235">
        <v>-499716</v>
      </c>
      <c r="AE116" s="235">
        <v>1</v>
      </c>
    </row>
    <row r="117" spans="1:31" x14ac:dyDescent="0.25">
      <c r="A117" s="111">
        <v>5590</v>
      </c>
      <c r="B117" s="229" t="s">
        <v>209</v>
      </c>
      <c r="C117" s="376">
        <v>19550</v>
      </c>
      <c r="D117" s="379">
        <v>61</v>
      </c>
      <c r="E117" s="238">
        <v>0.7</v>
      </c>
      <c r="F117" s="234">
        <v>59676350.590000004</v>
      </c>
      <c r="G117" s="235">
        <v>18837277.77</v>
      </c>
      <c r="H117" s="235">
        <v>12882446.25</v>
      </c>
      <c r="I117" s="235">
        <v>1734044.9</v>
      </c>
      <c r="J117" s="235">
        <v>2671442.46</v>
      </c>
      <c r="K117" s="235">
        <v>255077.3</v>
      </c>
      <c r="L117" s="235">
        <v>-469373.44</v>
      </c>
      <c r="M117" s="235"/>
      <c r="N117" s="235">
        <v>1361385.85</v>
      </c>
      <c r="O117" s="235">
        <v>4231163.75</v>
      </c>
      <c r="P117" s="235">
        <v>1235849.9099999999</v>
      </c>
      <c r="Q117" s="235">
        <v>540667.85</v>
      </c>
      <c r="R117" s="235">
        <v>-258663.03</v>
      </c>
      <c r="S117" s="235">
        <v>3528086.5</v>
      </c>
      <c r="T117" s="235">
        <v>3445713.9</v>
      </c>
      <c r="U117" s="235">
        <v>2934534.3</v>
      </c>
      <c r="V117" s="235">
        <v>195893.7</v>
      </c>
      <c r="W117" s="236">
        <f t="shared" si="1"/>
        <v>112801898.55999999</v>
      </c>
      <c r="X117" s="235">
        <v>589</v>
      </c>
      <c r="Y117" s="235">
        <v>44</v>
      </c>
      <c r="Z117" s="237">
        <v>0.193</v>
      </c>
      <c r="AA117" s="235">
        <v>1887</v>
      </c>
      <c r="AB117" s="235">
        <v>64</v>
      </c>
      <c r="AC117" s="235">
        <v>9951231</v>
      </c>
      <c r="AD117" s="235">
        <v>-1394588.01</v>
      </c>
      <c r="AE117" s="235">
        <v>1</v>
      </c>
    </row>
    <row r="118" spans="1:31" x14ac:dyDescent="0.25">
      <c r="A118" s="111">
        <v>5591</v>
      </c>
      <c r="B118" s="229" t="s">
        <v>210</v>
      </c>
      <c r="C118" s="376">
        <v>21827</v>
      </c>
      <c r="D118" s="379">
        <v>77</v>
      </c>
      <c r="E118" s="238">
        <v>1.4</v>
      </c>
      <c r="F118" s="234">
        <v>30437353.850000001</v>
      </c>
      <c r="G118" s="235">
        <v>3315297.4</v>
      </c>
      <c r="H118" s="235">
        <v>7806393.25</v>
      </c>
      <c r="I118" s="235">
        <v>552444.65</v>
      </c>
      <c r="J118" s="235">
        <v>0</v>
      </c>
      <c r="K118" s="235">
        <v>409429.57</v>
      </c>
      <c r="L118" s="235">
        <v>-1116864.6000000001</v>
      </c>
      <c r="M118" s="235"/>
      <c r="N118" s="235">
        <v>789631.77</v>
      </c>
      <c r="O118" s="235">
        <v>5990516.4500000002</v>
      </c>
      <c r="P118" s="235">
        <v>3161130.33</v>
      </c>
      <c r="Q118" s="235">
        <v>1039759.95</v>
      </c>
      <c r="R118" s="235">
        <v>-33979.370000000003</v>
      </c>
      <c r="S118" s="235">
        <v>1838633.35</v>
      </c>
      <c r="T118" s="235">
        <v>917113</v>
      </c>
      <c r="U118" s="235">
        <v>634764.6</v>
      </c>
      <c r="V118" s="235">
        <v>3648812.85</v>
      </c>
      <c r="W118" s="236">
        <f t="shared" si="1"/>
        <v>59390437.050000012</v>
      </c>
      <c r="X118" s="235">
        <v>295</v>
      </c>
      <c r="Y118" s="235">
        <v>0</v>
      </c>
      <c r="Z118" s="237">
        <v>6.2E-2</v>
      </c>
      <c r="AA118" s="235">
        <v>2319</v>
      </c>
      <c r="AB118" s="235">
        <v>20</v>
      </c>
      <c r="AC118" s="235">
        <v>10294680.960000001</v>
      </c>
      <c r="AD118" s="235">
        <v>-1101299</v>
      </c>
      <c r="AE118" s="235">
        <v>1</v>
      </c>
    </row>
    <row r="119" spans="1:31" x14ac:dyDescent="0.25">
      <c r="A119" s="111">
        <v>5592</v>
      </c>
      <c r="B119" s="229" t="s">
        <v>211</v>
      </c>
      <c r="C119" s="376">
        <v>4331</v>
      </c>
      <c r="D119" s="379">
        <v>70.5</v>
      </c>
      <c r="E119" s="238">
        <v>1.25</v>
      </c>
      <c r="F119" s="234">
        <v>7304778.5899999999</v>
      </c>
      <c r="G119" s="235">
        <v>974648.49</v>
      </c>
      <c r="H119" s="235">
        <v>768536.2</v>
      </c>
      <c r="I119" s="235">
        <v>46582.95</v>
      </c>
      <c r="J119" s="235">
        <v>0</v>
      </c>
      <c r="K119" s="235">
        <v>112256.5</v>
      </c>
      <c r="L119" s="235">
        <v>-179502.11</v>
      </c>
      <c r="M119" s="235"/>
      <c r="N119" s="235">
        <v>75886.45</v>
      </c>
      <c r="O119" s="235">
        <v>1200013</v>
      </c>
      <c r="P119" s="235">
        <v>326703.12</v>
      </c>
      <c r="Q119" s="235">
        <v>84996</v>
      </c>
      <c r="R119" s="235">
        <v>-18906.45</v>
      </c>
      <c r="S119" s="235">
        <v>597966.85</v>
      </c>
      <c r="T119" s="235">
        <v>45882.1</v>
      </c>
      <c r="U119" s="235">
        <v>748247.7</v>
      </c>
      <c r="V119" s="235">
        <v>587481.59999999998</v>
      </c>
      <c r="W119" s="236">
        <f t="shared" si="1"/>
        <v>12675570.989999996</v>
      </c>
      <c r="X119" s="235">
        <v>290</v>
      </c>
      <c r="Y119" s="235">
        <v>0</v>
      </c>
      <c r="Z119" s="237">
        <v>3.4000000000000002E-2</v>
      </c>
      <c r="AA119" s="235">
        <v>515</v>
      </c>
      <c r="AB119" s="235">
        <v>224</v>
      </c>
      <c r="AC119" s="235" t="s">
        <v>566</v>
      </c>
      <c r="AD119" s="235" t="s">
        <v>566</v>
      </c>
      <c r="AE119" s="235">
        <v>0</v>
      </c>
    </row>
    <row r="120" spans="1:31" x14ac:dyDescent="0.25">
      <c r="A120" s="111">
        <v>5601</v>
      </c>
      <c r="B120" s="229" t="s">
        <v>212</v>
      </c>
      <c r="C120" s="376">
        <v>2272</v>
      </c>
      <c r="D120" s="379">
        <v>67.5</v>
      </c>
      <c r="E120" s="238">
        <v>1</v>
      </c>
      <c r="F120" s="234">
        <v>5974068.29</v>
      </c>
      <c r="G120" s="235">
        <v>1191744.25</v>
      </c>
      <c r="H120" s="235">
        <v>89763.3</v>
      </c>
      <c r="I120" s="235">
        <v>14921.45</v>
      </c>
      <c r="J120" s="235">
        <v>0</v>
      </c>
      <c r="K120" s="235">
        <v>17614.59</v>
      </c>
      <c r="L120" s="235">
        <v>-67830.27</v>
      </c>
      <c r="M120" s="235"/>
      <c r="N120" s="235">
        <v>9746</v>
      </c>
      <c r="O120" s="235">
        <v>522461.05</v>
      </c>
      <c r="P120" s="235">
        <v>53612.78</v>
      </c>
      <c r="Q120" s="235">
        <v>33356.050000000003</v>
      </c>
      <c r="R120" s="235">
        <v>-11163.9</v>
      </c>
      <c r="S120" s="235">
        <v>429973.35</v>
      </c>
      <c r="T120" s="235">
        <v>1202237.8999999999</v>
      </c>
      <c r="U120" s="235">
        <v>238256.4</v>
      </c>
      <c r="V120" s="235">
        <v>51407.6</v>
      </c>
      <c r="W120" s="236">
        <f t="shared" si="1"/>
        <v>9750168.8399999999</v>
      </c>
      <c r="X120" s="235">
        <v>218</v>
      </c>
      <c r="Y120" s="235">
        <v>0</v>
      </c>
      <c r="Z120" s="237">
        <v>0.216</v>
      </c>
      <c r="AA120" s="235">
        <v>215</v>
      </c>
      <c r="AB120" s="235">
        <v>8</v>
      </c>
      <c r="AC120" s="235" t="s">
        <v>566</v>
      </c>
      <c r="AD120" s="235" t="s">
        <v>566</v>
      </c>
      <c r="AE120" s="235">
        <v>1</v>
      </c>
    </row>
    <row r="121" spans="1:31" x14ac:dyDescent="0.25">
      <c r="A121" s="111">
        <v>5604</v>
      </c>
      <c r="B121" s="229" t="s">
        <v>213</v>
      </c>
      <c r="C121" s="376">
        <v>2113</v>
      </c>
      <c r="D121" s="379">
        <v>69</v>
      </c>
      <c r="E121" s="238">
        <v>1</v>
      </c>
      <c r="F121" s="234">
        <v>3905133.46</v>
      </c>
      <c r="G121" s="235">
        <v>1037615.37</v>
      </c>
      <c r="H121" s="235">
        <v>224956.1</v>
      </c>
      <c r="I121" s="235">
        <v>13897.35</v>
      </c>
      <c r="J121" s="235">
        <v>20966.13</v>
      </c>
      <c r="K121" s="235">
        <v>31274.83</v>
      </c>
      <c r="L121" s="235">
        <v>-32045.33</v>
      </c>
      <c r="M121" s="235"/>
      <c r="N121" s="235">
        <v>22236.92</v>
      </c>
      <c r="O121" s="235">
        <v>446448.78</v>
      </c>
      <c r="P121" s="235">
        <v>68720.34</v>
      </c>
      <c r="Q121" s="235">
        <v>35532.65</v>
      </c>
      <c r="R121" s="235">
        <v>-17874.39</v>
      </c>
      <c r="S121" s="235">
        <v>318703.3</v>
      </c>
      <c r="T121" s="235">
        <v>79575.600000000006</v>
      </c>
      <c r="U121" s="235">
        <v>199200.45</v>
      </c>
      <c r="V121" s="235">
        <v>150168.85</v>
      </c>
      <c r="W121" s="236">
        <f t="shared" si="1"/>
        <v>6504510.4099999992</v>
      </c>
      <c r="X121" s="235">
        <v>1845</v>
      </c>
      <c r="Y121" s="235">
        <v>797</v>
      </c>
      <c r="Z121" s="237">
        <v>6.5000000000000002E-2</v>
      </c>
      <c r="AA121" s="235">
        <v>267</v>
      </c>
      <c r="AB121" s="235">
        <v>152</v>
      </c>
      <c r="AC121" s="235" t="s">
        <v>566</v>
      </c>
      <c r="AD121" s="235" t="s">
        <v>566</v>
      </c>
      <c r="AE121" s="235">
        <v>0</v>
      </c>
    </row>
    <row r="122" spans="1:31" x14ac:dyDescent="0.25">
      <c r="A122" s="111">
        <v>5606</v>
      </c>
      <c r="B122" s="229" t="s">
        <v>214</v>
      </c>
      <c r="C122" s="376">
        <v>10843</v>
      </c>
      <c r="D122" s="379">
        <v>54</v>
      </c>
      <c r="E122" s="238">
        <v>0.7</v>
      </c>
      <c r="F122" s="234">
        <v>34566450.700000003</v>
      </c>
      <c r="G122" s="235">
        <v>8913766.3300000001</v>
      </c>
      <c r="H122" s="235">
        <v>-1739739.4</v>
      </c>
      <c r="I122" s="235">
        <v>5635383.5499999998</v>
      </c>
      <c r="J122" s="235">
        <v>1077538.76</v>
      </c>
      <c r="K122" s="235">
        <v>26289.08</v>
      </c>
      <c r="L122" s="235">
        <v>-213982.66</v>
      </c>
      <c r="M122" s="235"/>
      <c r="N122" s="235">
        <v>362679</v>
      </c>
      <c r="O122" s="235">
        <v>2598667.35</v>
      </c>
      <c r="P122" s="235">
        <v>771127.08</v>
      </c>
      <c r="Q122" s="235">
        <v>227300.2</v>
      </c>
      <c r="R122" s="235">
        <v>-232992.31</v>
      </c>
      <c r="S122" s="235">
        <v>2139044.5499999998</v>
      </c>
      <c r="T122" s="235">
        <v>1336690.6000000001</v>
      </c>
      <c r="U122" s="235">
        <v>2059799.6</v>
      </c>
      <c r="V122" s="235">
        <v>130053.55</v>
      </c>
      <c r="W122" s="236">
        <f t="shared" si="1"/>
        <v>57658075.979999997</v>
      </c>
      <c r="X122" s="235">
        <v>838</v>
      </c>
      <c r="Y122" s="235">
        <v>76</v>
      </c>
      <c r="Z122" s="237">
        <v>0.16200000000000001</v>
      </c>
      <c r="AA122" s="235">
        <v>1049</v>
      </c>
      <c r="AB122" s="235">
        <v>198</v>
      </c>
      <c r="AC122" s="235">
        <v>4719732.96</v>
      </c>
      <c r="AD122" s="235">
        <v>-616138</v>
      </c>
      <c r="AE122" s="235">
        <v>1</v>
      </c>
    </row>
    <row r="123" spans="1:31" x14ac:dyDescent="0.25">
      <c r="A123" s="111">
        <v>5607</v>
      </c>
      <c r="B123" s="229" t="s">
        <v>215</v>
      </c>
      <c r="C123" s="376">
        <v>3014</v>
      </c>
      <c r="D123" s="379">
        <v>68.5</v>
      </c>
      <c r="E123" s="238">
        <v>1.1499999999999999</v>
      </c>
      <c r="F123" s="234">
        <v>5700508.3799999999</v>
      </c>
      <c r="G123" s="235">
        <v>1084414.56</v>
      </c>
      <c r="H123" s="235">
        <v>983582.35</v>
      </c>
      <c r="I123" s="235">
        <v>221519.15</v>
      </c>
      <c r="J123" s="235">
        <v>-80.25</v>
      </c>
      <c r="K123" s="235">
        <v>24491.5</v>
      </c>
      <c r="L123" s="235">
        <v>-78473.14</v>
      </c>
      <c r="M123" s="235"/>
      <c r="N123" s="235">
        <v>110132.82</v>
      </c>
      <c r="O123" s="235">
        <v>970712.35</v>
      </c>
      <c r="P123" s="235">
        <v>228965.5</v>
      </c>
      <c r="Q123" s="235">
        <v>132299.4</v>
      </c>
      <c r="R123" s="235">
        <v>-86963.520000000004</v>
      </c>
      <c r="S123" s="235">
        <v>262278.65000000002</v>
      </c>
      <c r="T123" s="235">
        <v>209.2</v>
      </c>
      <c r="U123" s="235">
        <v>166463.25</v>
      </c>
      <c r="V123" s="235">
        <v>369484.5</v>
      </c>
      <c r="W123" s="236">
        <f t="shared" si="1"/>
        <v>10089544.700000001</v>
      </c>
      <c r="X123" s="235">
        <v>2223</v>
      </c>
      <c r="Y123" s="235">
        <v>126</v>
      </c>
      <c r="Z123" s="237">
        <v>0.17299999999999999</v>
      </c>
      <c r="AA123" s="235">
        <v>332</v>
      </c>
      <c r="AB123" s="235">
        <v>100</v>
      </c>
      <c r="AC123" s="235" t="s">
        <v>566</v>
      </c>
      <c r="AD123" s="235" t="s">
        <v>566</v>
      </c>
      <c r="AE123" s="235">
        <v>1</v>
      </c>
    </row>
    <row r="124" spans="1:31" x14ac:dyDescent="0.25">
      <c r="A124" s="111">
        <v>5609</v>
      </c>
      <c r="B124" s="229" t="s">
        <v>216</v>
      </c>
      <c r="C124" s="376">
        <v>330</v>
      </c>
      <c r="D124" s="379">
        <v>62</v>
      </c>
      <c r="E124" s="238">
        <v>1</v>
      </c>
      <c r="F124" s="234">
        <v>790220.02</v>
      </c>
      <c r="G124" s="235">
        <v>159507.35</v>
      </c>
      <c r="H124" s="235">
        <v>7702.95</v>
      </c>
      <c r="I124" s="235">
        <v>1370.1</v>
      </c>
      <c r="J124" s="235">
        <v>0</v>
      </c>
      <c r="K124" s="235">
        <v>0</v>
      </c>
      <c r="L124" s="235">
        <v>-1285.3900000000001</v>
      </c>
      <c r="M124" s="235"/>
      <c r="N124" s="235">
        <v>844.69</v>
      </c>
      <c r="O124" s="235">
        <v>65029.3</v>
      </c>
      <c r="P124" s="235">
        <v>15900.33</v>
      </c>
      <c r="Q124" s="235">
        <v>-3228.6</v>
      </c>
      <c r="R124" s="235">
        <v>-495.36</v>
      </c>
      <c r="S124" s="235">
        <v>35324.65</v>
      </c>
      <c r="T124" s="235">
        <v>0</v>
      </c>
      <c r="U124" s="235">
        <v>1382.95</v>
      </c>
      <c r="V124" s="235">
        <v>0</v>
      </c>
      <c r="W124" s="236">
        <f t="shared" si="1"/>
        <v>1072272.9899999998</v>
      </c>
      <c r="X124" s="235">
        <v>29</v>
      </c>
      <c r="Y124" s="235">
        <v>0</v>
      </c>
      <c r="Z124" s="237">
        <v>0.309</v>
      </c>
      <c r="AA124" s="235">
        <v>24</v>
      </c>
      <c r="AB124" s="235">
        <v>9</v>
      </c>
      <c r="AC124" s="235" t="s">
        <v>566</v>
      </c>
      <c r="AD124" s="235" t="s">
        <v>566</v>
      </c>
      <c r="AE124" s="235">
        <v>1</v>
      </c>
    </row>
    <row r="125" spans="1:31" x14ac:dyDescent="0.25">
      <c r="A125" s="111">
        <v>5610</v>
      </c>
      <c r="B125" s="229" t="s">
        <v>217</v>
      </c>
      <c r="C125" s="376">
        <v>393</v>
      </c>
      <c r="D125" s="379">
        <v>74</v>
      </c>
      <c r="E125" s="238">
        <v>1.2</v>
      </c>
      <c r="F125" s="234">
        <v>1175066.97</v>
      </c>
      <c r="G125" s="235">
        <v>333782.34000000003</v>
      </c>
      <c r="H125" s="235">
        <v>16381.4</v>
      </c>
      <c r="I125" s="235">
        <v>6391.15</v>
      </c>
      <c r="J125" s="235">
        <v>-1727.2</v>
      </c>
      <c r="K125" s="235">
        <v>0</v>
      </c>
      <c r="L125" s="235">
        <v>-1815.35</v>
      </c>
      <c r="M125" s="235"/>
      <c r="N125" s="235">
        <v>2120.09</v>
      </c>
      <c r="O125" s="235">
        <v>133311.75</v>
      </c>
      <c r="P125" s="235">
        <v>14557.18</v>
      </c>
      <c r="Q125" s="235">
        <v>6811.15</v>
      </c>
      <c r="R125" s="235">
        <v>-1456.1</v>
      </c>
      <c r="S125" s="235">
        <v>43505</v>
      </c>
      <c r="T125" s="235">
        <v>0</v>
      </c>
      <c r="U125" s="235">
        <v>81566.399999999994</v>
      </c>
      <c r="V125" s="235">
        <v>0</v>
      </c>
      <c r="W125" s="236">
        <f t="shared" si="1"/>
        <v>1808494.7799999996</v>
      </c>
      <c r="X125" s="235">
        <v>87</v>
      </c>
      <c r="Y125" s="235">
        <v>0</v>
      </c>
      <c r="Z125" s="237">
        <v>0.41799999999999998</v>
      </c>
      <c r="AA125" s="235">
        <v>30</v>
      </c>
      <c r="AB125" s="235">
        <v>19</v>
      </c>
      <c r="AC125" s="235" t="s">
        <v>566</v>
      </c>
      <c r="AD125" s="235" t="s">
        <v>566</v>
      </c>
      <c r="AE125" s="235">
        <v>1</v>
      </c>
    </row>
    <row r="126" spans="1:31" x14ac:dyDescent="0.25">
      <c r="A126" s="111">
        <v>5611</v>
      </c>
      <c r="B126" s="229" t="s">
        <v>218</v>
      </c>
      <c r="C126" s="376">
        <v>3598</v>
      </c>
      <c r="D126" s="379">
        <v>69</v>
      </c>
      <c r="E126" s="238">
        <v>1.2</v>
      </c>
      <c r="F126" s="234">
        <v>7913654.29</v>
      </c>
      <c r="G126" s="235">
        <v>1380085.12</v>
      </c>
      <c r="H126" s="235">
        <v>200482.2</v>
      </c>
      <c r="I126" s="235">
        <v>25656.3</v>
      </c>
      <c r="J126" s="235">
        <v>61535.8</v>
      </c>
      <c r="K126" s="235">
        <v>26361.01</v>
      </c>
      <c r="L126" s="235">
        <v>-140276.68</v>
      </c>
      <c r="M126" s="235"/>
      <c r="N126" s="235">
        <v>21053.18</v>
      </c>
      <c r="O126" s="235">
        <v>909058.15</v>
      </c>
      <c r="P126" s="235">
        <v>165820.37</v>
      </c>
      <c r="Q126" s="235">
        <v>27838.400000000001</v>
      </c>
      <c r="R126" s="235">
        <v>-9153.65</v>
      </c>
      <c r="S126" s="235">
        <v>393220.3</v>
      </c>
      <c r="T126" s="235">
        <v>363242.1</v>
      </c>
      <c r="U126" s="235">
        <v>326471.40000000002</v>
      </c>
      <c r="V126" s="235">
        <v>160547.65</v>
      </c>
      <c r="W126" s="236">
        <f t="shared" si="1"/>
        <v>11825595.940000001</v>
      </c>
      <c r="X126" s="235">
        <v>1607</v>
      </c>
      <c r="Y126" s="235">
        <v>3593</v>
      </c>
      <c r="Z126" s="237">
        <v>6.0999999999999999E-2</v>
      </c>
      <c r="AA126" s="235">
        <v>445</v>
      </c>
      <c r="AB126" s="235">
        <v>292</v>
      </c>
      <c r="AC126" s="235" t="s">
        <v>566</v>
      </c>
      <c r="AD126" s="235" t="s">
        <v>566</v>
      </c>
      <c r="AE126" s="235">
        <v>1</v>
      </c>
    </row>
    <row r="127" spans="1:31" x14ac:dyDescent="0.25">
      <c r="A127" s="111">
        <v>5613</v>
      </c>
      <c r="B127" s="229" t="s">
        <v>219</v>
      </c>
      <c r="C127" s="376">
        <v>5558</v>
      </c>
      <c r="D127" s="379">
        <v>62.5</v>
      </c>
      <c r="E127" s="238">
        <v>1.5</v>
      </c>
      <c r="F127" s="234">
        <v>18057600.289999999</v>
      </c>
      <c r="G127" s="235">
        <v>5090680.43</v>
      </c>
      <c r="H127" s="235">
        <v>251879.05</v>
      </c>
      <c r="I127" s="235">
        <v>34217.85</v>
      </c>
      <c r="J127" s="235">
        <v>226561.3</v>
      </c>
      <c r="K127" s="235">
        <v>47383.23</v>
      </c>
      <c r="L127" s="235">
        <v>-234687.46</v>
      </c>
      <c r="M127" s="235"/>
      <c r="N127" s="235">
        <v>26635.22</v>
      </c>
      <c r="O127" s="235">
        <v>2581603.7999999998</v>
      </c>
      <c r="P127" s="235">
        <v>474664.69</v>
      </c>
      <c r="Q127" s="235">
        <v>44800.1</v>
      </c>
      <c r="R127" s="235">
        <v>-34627.800000000003</v>
      </c>
      <c r="S127" s="235">
        <v>1417941.35</v>
      </c>
      <c r="T127" s="235">
        <v>445806.8</v>
      </c>
      <c r="U127" s="235">
        <v>1358937.85</v>
      </c>
      <c r="V127" s="235">
        <v>53225.2</v>
      </c>
      <c r="W127" s="236">
        <f t="shared" si="1"/>
        <v>29842621.900000006</v>
      </c>
      <c r="X127" s="235">
        <v>961</v>
      </c>
      <c r="Y127" s="235">
        <v>183</v>
      </c>
      <c r="Z127" s="237">
        <v>0.27900000000000003</v>
      </c>
      <c r="AA127" s="235">
        <v>516</v>
      </c>
      <c r="AB127" s="235">
        <v>266</v>
      </c>
      <c r="AC127" s="235" t="s">
        <v>566</v>
      </c>
      <c r="AD127" s="235" t="s">
        <v>566</v>
      </c>
      <c r="AE127" s="235">
        <v>1</v>
      </c>
    </row>
    <row r="128" spans="1:31" x14ac:dyDescent="0.25">
      <c r="A128" s="111">
        <v>5621</v>
      </c>
      <c r="B128" s="229" t="s">
        <v>220</v>
      </c>
      <c r="C128" s="376">
        <v>609</v>
      </c>
      <c r="D128" s="379">
        <v>60</v>
      </c>
      <c r="E128" s="238">
        <v>1.1000000000000001</v>
      </c>
      <c r="F128" s="234">
        <v>1224483.6599999999</v>
      </c>
      <c r="G128" s="235">
        <v>144152.67000000001</v>
      </c>
      <c r="H128" s="235">
        <v>447139.1</v>
      </c>
      <c r="I128" s="235">
        <v>24693.45</v>
      </c>
      <c r="J128" s="235">
        <v>0</v>
      </c>
      <c r="K128" s="235">
        <v>884.54</v>
      </c>
      <c r="L128" s="235">
        <v>-9326.98</v>
      </c>
      <c r="M128" s="235"/>
      <c r="N128" s="235">
        <v>43926.95</v>
      </c>
      <c r="O128" s="235">
        <v>359058.3</v>
      </c>
      <c r="P128" s="235">
        <v>81289.8</v>
      </c>
      <c r="Q128" s="235">
        <v>37132.050000000003</v>
      </c>
      <c r="R128" s="235">
        <v>-181.15</v>
      </c>
      <c r="S128" s="235">
        <v>316437.25</v>
      </c>
      <c r="T128" s="235">
        <v>0</v>
      </c>
      <c r="U128" s="235">
        <v>54878.65</v>
      </c>
      <c r="V128" s="235">
        <v>497931.55</v>
      </c>
      <c r="W128" s="236">
        <f t="shared" si="1"/>
        <v>3222499.8399999989</v>
      </c>
      <c r="X128" s="235">
        <v>389</v>
      </c>
      <c r="Y128" s="235">
        <v>0</v>
      </c>
      <c r="Z128" s="237">
        <v>4.5999999999999999E-2</v>
      </c>
      <c r="AA128" s="235">
        <v>71</v>
      </c>
      <c r="AB128" s="235">
        <v>48</v>
      </c>
      <c r="AC128" s="235" t="s">
        <v>566</v>
      </c>
      <c r="AD128" s="235" t="s">
        <v>566</v>
      </c>
      <c r="AE128" s="235">
        <v>0</v>
      </c>
    </row>
    <row r="129" spans="1:31" x14ac:dyDescent="0.25">
      <c r="A129" s="111">
        <v>5622</v>
      </c>
      <c r="B129" s="229" t="s">
        <v>221</v>
      </c>
      <c r="C129" s="376">
        <v>596</v>
      </c>
      <c r="D129" s="379">
        <v>68</v>
      </c>
      <c r="E129" s="238">
        <v>1</v>
      </c>
      <c r="F129" s="234">
        <v>1814456.55</v>
      </c>
      <c r="G129" s="235">
        <v>324075.71000000002</v>
      </c>
      <c r="H129" s="235">
        <v>101773.35</v>
      </c>
      <c r="I129" s="235">
        <v>2832.8</v>
      </c>
      <c r="J129" s="235">
        <v>0</v>
      </c>
      <c r="K129" s="235">
        <v>0</v>
      </c>
      <c r="L129" s="235">
        <v>-20455.89</v>
      </c>
      <c r="M129" s="235"/>
      <c r="N129" s="235">
        <v>9738.69</v>
      </c>
      <c r="O129" s="235">
        <v>171286.05</v>
      </c>
      <c r="P129" s="235">
        <v>23398.2</v>
      </c>
      <c r="Q129" s="235">
        <v>6741.2</v>
      </c>
      <c r="R129" s="235">
        <v>-472.78</v>
      </c>
      <c r="S129" s="235">
        <v>86835.1</v>
      </c>
      <c r="T129" s="235">
        <v>109861.6</v>
      </c>
      <c r="U129" s="235">
        <v>66988.850000000006</v>
      </c>
      <c r="V129" s="235">
        <v>49024.35</v>
      </c>
      <c r="W129" s="236">
        <f t="shared" si="1"/>
        <v>2746083.7800000007</v>
      </c>
      <c r="X129" s="235">
        <v>292</v>
      </c>
      <c r="Y129" s="235">
        <v>0</v>
      </c>
      <c r="Z129" s="237">
        <v>2.9000000000000001E-2</v>
      </c>
      <c r="AA129" s="235">
        <v>70</v>
      </c>
      <c r="AB129" s="235">
        <v>49</v>
      </c>
      <c r="AC129" s="235" t="s">
        <v>566</v>
      </c>
      <c r="AD129" s="235" t="s">
        <v>566</v>
      </c>
      <c r="AE129" s="235">
        <v>0</v>
      </c>
    </row>
    <row r="130" spans="1:31" x14ac:dyDescent="0.25">
      <c r="A130" s="111">
        <v>5623</v>
      </c>
      <c r="B130" s="229" t="s">
        <v>222</v>
      </c>
      <c r="C130" s="376">
        <v>682</v>
      </c>
      <c r="D130" s="379">
        <v>52</v>
      </c>
      <c r="E130" s="238">
        <v>1</v>
      </c>
      <c r="F130" s="234">
        <v>3361647.26</v>
      </c>
      <c r="G130" s="235">
        <v>1520163.04</v>
      </c>
      <c r="H130" s="235">
        <v>89134.1</v>
      </c>
      <c r="I130" s="235">
        <v>162938.9</v>
      </c>
      <c r="J130" s="235">
        <v>177691.85</v>
      </c>
      <c r="K130" s="235">
        <v>1288.27</v>
      </c>
      <c r="L130" s="235">
        <v>-3642.52</v>
      </c>
      <c r="M130" s="235"/>
      <c r="N130" s="235">
        <v>23467.64</v>
      </c>
      <c r="O130" s="235">
        <v>397868.35</v>
      </c>
      <c r="P130" s="235">
        <v>-49163.45</v>
      </c>
      <c r="Q130" s="235">
        <v>2581.8000000000002</v>
      </c>
      <c r="R130" s="235">
        <v>-44811.37</v>
      </c>
      <c r="S130" s="235">
        <v>252917.5</v>
      </c>
      <c r="T130" s="235">
        <v>1633.8</v>
      </c>
      <c r="U130" s="235">
        <v>272388.15000000002</v>
      </c>
      <c r="V130" s="235">
        <v>1506.9</v>
      </c>
      <c r="W130" s="236">
        <f t="shared" si="1"/>
        <v>6167610.2199999988</v>
      </c>
      <c r="X130" s="235">
        <v>211</v>
      </c>
      <c r="Y130" s="235">
        <v>0</v>
      </c>
      <c r="Z130" s="237">
        <v>3.9E-2</v>
      </c>
      <c r="AA130" s="235">
        <v>53</v>
      </c>
      <c r="AB130" s="235">
        <v>24</v>
      </c>
      <c r="AC130" s="235" t="s">
        <v>566</v>
      </c>
      <c r="AD130" s="235" t="s">
        <v>566</v>
      </c>
      <c r="AE130" s="235">
        <v>1</v>
      </c>
    </row>
    <row r="131" spans="1:31" x14ac:dyDescent="0.25">
      <c r="A131" s="111">
        <v>5624</v>
      </c>
      <c r="B131" s="229" t="s">
        <v>223</v>
      </c>
      <c r="C131" s="376">
        <v>12138</v>
      </c>
      <c r="D131" s="379">
        <v>62.5</v>
      </c>
      <c r="E131" s="238">
        <v>1.25</v>
      </c>
      <c r="F131" s="234">
        <v>18667988.489999998</v>
      </c>
      <c r="G131" s="235">
        <v>1809506.35</v>
      </c>
      <c r="H131" s="235">
        <v>1895066.2</v>
      </c>
      <c r="I131" s="235">
        <v>219972</v>
      </c>
      <c r="J131" s="235">
        <v>0</v>
      </c>
      <c r="K131" s="235">
        <v>37240.11</v>
      </c>
      <c r="L131" s="235">
        <v>-367823.6</v>
      </c>
      <c r="M131" s="235"/>
      <c r="N131" s="235">
        <v>196715.49</v>
      </c>
      <c r="O131" s="235">
        <v>3451791.85</v>
      </c>
      <c r="P131" s="235">
        <v>1489134.9</v>
      </c>
      <c r="Q131" s="235">
        <v>507525.5</v>
      </c>
      <c r="R131" s="235">
        <v>-7744.95</v>
      </c>
      <c r="S131" s="235">
        <v>1239743.75</v>
      </c>
      <c r="T131" s="235">
        <v>104213.9</v>
      </c>
      <c r="U131" s="235">
        <v>491320.5</v>
      </c>
      <c r="V131" s="235">
        <v>1893432.95</v>
      </c>
      <c r="W131" s="236">
        <f t="shared" si="1"/>
        <v>31628083.439999994</v>
      </c>
      <c r="X131" s="235">
        <v>474</v>
      </c>
      <c r="Y131" s="235">
        <v>0</v>
      </c>
      <c r="Z131" s="237">
        <v>5.8000000000000003E-2</v>
      </c>
      <c r="AA131" s="235">
        <v>1512</v>
      </c>
      <c r="AB131" s="235">
        <v>45</v>
      </c>
      <c r="AC131" s="235">
        <v>3499545.96</v>
      </c>
      <c r="AD131" s="235">
        <v>-401763.87382766278</v>
      </c>
      <c r="AE131" s="235">
        <v>1</v>
      </c>
    </row>
    <row r="132" spans="1:31" x14ac:dyDescent="0.25">
      <c r="A132" s="111">
        <v>5627</v>
      </c>
      <c r="B132" s="229" t="s">
        <v>224</v>
      </c>
      <c r="C132" s="376">
        <v>10735</v>
      </c>
      <c r="D132" s="379">
        <v>77.5</v>
      </c>
      <c r="E132" s="238">
        <v>1.5</v>
      </c>
      <c r="F132" s="234">
        <v>13233540.02</v>
      </c>
      <c r="G132" s="235">
        <v>509627.02</v>
      </c>
      <c r="H132" s="235">
        <v>2069641.8</v>
      </c>
      <c r="I132" s="235">
        <v>235751.9</v>
      </c>
      <c r="J132" s="235">
        <v>0</v>
      </c>
      <c r="K132" s="235">
        <v>75596.03</v>
      </c>
      <c r="L132" s="235">
        <v>-395461.3</v>
      </c>
      <c r="M132" s="235"/>
      <c r="N132" s="235">
        <v>214628.92</v>
      </c>
      <c r="O132" s="235">
        <v>1969604.25</v>
      </c>
      <c r="P132" s="235">
        <v>1474463.83</v>
      </c>
      <c r="Q132" s="235">
        <v>329914.05</v>
      </c>
      <c r="R132" s="235">
        <v>-4945.3999999999996</v>
      </c>
      <c r="S132" s="235">
        <v>800580.1</v>
      </c>
      <c r="T132" s="235">
        <v>104131.4</v>
      </c>
      <c r="U132" s="235">
        <v>131332.9</v>
      </c>
      <c r="V132" s="235">
        <v>577812.19999999995</v>
      </c>
      <c r="W132" s="236">
        <f t="shared" si="1"/>
        <v>21326217.719999999</v>
      </c>
      <c r="X132" s="235">
        <v>165</v>
      </c>
      <c r="Y132" s="235">
        <v>0</v>
      </c>
      <c r="Z132" s="237">
        <v>7.3999999999999996E-2</v>
      </c>
      <c r="AA132" s="235">
        <v>1066</v>
      </c>
      <c r="AB132" s="235">
        <v>12</v>
      </c>
      <c r="AC132" s="235">
        <v>3354534</v>
      </c>
      <c r="AD132" s="235">
        <v>-233550</v>
      </c>
      <c r="AE132" s="235">
        <v>1</v>
      </c>
    </row>
    <row r="133" spans="1:31" x14ac:dyDescent="0.25">
      <c r="A133" s="111">
        <v>5628</v>
      </c>
      <c r="B133" s="229" t="s">
        <v>225</v>
      </c>
      <c r="C133" s="376">
        <v>410</v>
      </c>
      <c r="D133" s="379">
        <v>62</v>
      </c>
      <c r="E133" s="238">
        <v>1</v>
      </c>
      <c r="F133" s="234">
        <v>1684003.64</v>
      </c>
      <c r="G133" s="235">
        <v>0</v>
      </c>
      <c r="H133" s="235">
        <v>8460</v>
      </c>
      <c r="I133" s="235">
        <v>1726.1</v>
      </c>
      <c r="J133" s="235">
        <v>0</v>
      </c>
      <c r="K133" s="235">
        <v>0</v>
      </c>
      <c r="L133" s="235">
        <v>-20199.52</v>
      </c>
      <c r="M133" s="235"/>
      <c r="N133" s="235">
        <v>948.31</v>
      </c>
      <c r="O133" s="235">
        <v>119976.3</v>
      </c>
      <c r="P133" s="235">
        <v>19331.53</v>
      </c>
      <c r="Q133" s="235">
        <v>1308</v>
      </c>
      <c r="R133" s="235">
        <v>-2526.8000000000002</v>
      </c>
      <c r="S133" s="235">
        <v>69355</v>
      </c>
      <c r="T133" s="235">
        <v>0</v>
      </c>
      <c r="U133" s="235">
        <v>52817.15</v>
      </c>
      <c r="V133" s="235">
        <v>851.65</v>
      </c>
      <c r="W133" s="236">
        <f t="shared" si="1"/>
        <v>1936051.3599999999</v>
      </c>
      <c r="X133" s="235">
        <v>86</v>
      </c>
      <c r="Y133" s="235">
        <v>0</v>
      </c>
      <c r="Z133" s="237">
        <v>5.5E-2</v>
      </c>
      <c r="AA133" s="235">
        <v>56</v>
      </c>
      <c r="AB133" s="235">
        <v>4</v>
      </c>
      <c r="AC133" s="235" t="s">
        <v>566</v>
      </c>
      <c r="AD133" s="235" t="s">
        <v>566</v>
      </c>
      <c r="AE133" s="235">
        <v>0</v>
      </c>
    </row>
    <row r="134" spans="1:31" x14ac:dyDescent="0.25">
      <c r="A134" s="111">
        <v>5629</v>
      </c>
      <c r="B134" s="229" t="s">
        <v>226</v>
      </c>
      <c r="C134" s="376">
        <v>232</v>
      </c>
      <c r="D134" s="379">
        <v>72</v>
      </c>
      <c r="E134" s="238">
        <v>1</v>
      </c>
      <c r="F134" s="234">
        <v>533099.67000000004</v>
      </c>
      <c r="G134" s="235">
        <v>69370.649999999994</v>
      </c>
      <c r="H134" s="235">
        <v>2551.3000000000002</v>
      </c>
      <c r="I134" s="235">
        <v>1026.25</v>
      </c>
      <c r="J134" s="235">
        <v>0</v>
      </c>
      <c r="K134" s="235">
        <v>0</v>
      </c>
      <c r="L134" s="235">
        <v>-99.65</v>
      </c>
      <c r="M134" s="235"/>
      <c r="N134" s="235">
        <v>333.06</v>
      </c>
      <c r="O134" s="235">
        <v>42253</v>
      </c>
      <c r="P134" s="235">
        <v>14220.61</v>
      </c>
      <c r="Q134" s="235">
        <v>2493</v>
      </c>
      <c r="R134" s="235">
        <v>-319.7</v>
      </c>
      <c r="S134" s="235">
        <v>0</v>
      </c>
      <c r="T134" s="235">
        <v>0</v>
      </c>
      <c r="U134" s="235">
        <v>0</v>
      </c>
      <c r="V134" s="235">
        <v>0</v>
      </c>
      <c r="W134" s="236">
        <f t="shared" si="1"/>
        <v>664928.19000000018</v>
      </c>
      <c r="X134" s="235">
        <v>101</v>
      </c>
      <c r="Y134" s="235">
        <v>0</v>
      </c>
      <c r="Z134" s="237">
        <v>4.3999999999999997E-2</v>
      </c>
      <c r="AA134" s="235">
        <v>24</v>
      </c>
      <c r="AB134" s="235">
        <v>1</v>
      </c>
      <c r="AC134" s="235" t="s">
        <v>566</v>
      </c>
      <c r="AD134" s="235" t="s">
        <v>566</v>
      </c>
      <c r="AE134" s="235">
        <v>0</v>
      </c>
    </row>
    <row r="135" spans="1:31" x14ac:dyDescent="0.25">
      <c r="A135" s="111">
        <v>5631</v>
      </c>
      <c r="B135" s="229" t="s">
        <v>227</v>
      </c>
      <c r="C135" s="376">
        <v>748</v>
      </c>
      <c r="D135" s="379">
        <v>65</v>
      </c>
      <c r="E135" s="238">
        <v>1</v>
      </c>
      <c r="F135" s="234">
        <v>2273907.21</v>
      </c>
      <c r="G135" s="235">
        <v>386750.7</v>
      </c>
      <c r="H135" s="235">
        <v>2646.45</v>
      </c>
      <c r="I135" s="235">
        <v>2769.55</v>
      </c>
      <c r="J135" s="235">
        <v>247594.93</v>
      </c>
      <c r="K135" s="235">
        <v>0</v>
      </c>
      <c r="L135" s="235">
        <v>-3343.1</v>
      </c>
      <c r="M135" s="235"/>
      <c r="N135" s="235">
        <v>504.22</v>
      </c>
      <c r="O135" s="235">
        <v>228798.9</v>
      </c>
      <c r="P135" s="235">
        <v>4329.99</v>
      </c>
      <c r="Q135" s="235">
        <v>3209.15</v>
      </c>
      <c r="R135" s="235">
        <v>-3738.45</v>
      </c>
      <c r="S135" s="235">
        <v>170517.35</v>
      </c>
      <c r="T135" s="235">
        <v>277628.2</v>
      </c>
      <c r="U135" s="235">
        <v>278729.34999999998</v>
      </c>
      <c r="V135" s="235">
        <v>2971.65</v>
      </c>
      <c r="W135" s="236">
        <f t="shared" si="1"/>
        <v>3873276.1000000006</v>
      </c>
      <c r="X135" s="235">
        <v>329</v>
      </c>
      <c r="Y135" s="235">
        <v>0</v>
      </c>
      <c r="Z135" s="237">
        <v>4.0000000000000001E-3</v>
      </c>
      <c r="AA135" s="235">
        <v>75</v>
      </c>
      <c r="AB135" s="235">
        <v>57</v>
      </c>
      <c r="AC135" s="235" t="s">
        <v>566</v>
      </c>
      <c r="AD135" s="235" t="s">
        <v>566</v>
      </c>
      <c r="AE135" s="235">
        <v>0</v>
      </c>
    </row>
    <row r="136" spans="1:31" x14ac:dyDescent="0.25">
      <c r="A136" s="111">
        <v>5632</v>
      </c>
      <c r="B136" s="229" t="s">
        <v>228</v>
      </c>
      <c r="C136" s="376">
        <v>1844</v>
      </c>
      <c r="D136" s="379">
        <v>62</v>
      </c>
      <c r="E136" s="238">
        <v>1</v>
      </c>
      <c r="F136" s="234">
        <v>3774127.62</v>
      </c>
      <c r="G136" s="235">
        <v>652386.30000000005</v>
      </c>
      <c r="H136" s="235">
        <v>169278.45</v>
      </c>
      <c r="I136" s="235">
        <v>17106.75</v>
      </c>
      <c r="J136" s="235">
        <v>0</v>
      </c>
      <c r="K136" s="235">
        <v>23655.200000000001</v>
      </c>
      <c r="L136" s="235">
        <v>-30407.78</v>
      </c>
      <c r="M136" s="235"/>
      <c r="N136" s="235">
        <v>17352.2</v>
      </c>
      <c r="O136" s="235">
        <v>430157.75</v>
      </c>
      <c r="P136" s="235">
        <v>203888.81</v>
      </c>
      <c r="Q136" s="235">
        <v>14932.6</v>
      </c>
      <c r="R136" s="235">
        <v>-2151.4499999999998</v>
      </c>
      <c r="S136" s="235">
        <v>819792.75</v>
      </c>
      <c r="T136" s="235">
        <v>215462.6</v>
      </c>
      <c r="U136" s="235">
        <v>599980.4</v>
      </c>
      <c r="V136" s="235">
        <v>112446.45</v>
      </c>
      <c r="W136" s="236">
        <f t="shared" si="1"/>
        <v>7018008.6499999994</v>
      </c>
      <c r="X136" s="235">
        <v>166</v>
      </c>
      <c r="Y136" s="235">
        <v>0</v>
      </c>
      <c r="Z136" s="237">
        <v>4.1000000000000002E-2</v>
      </c>
      <c r="AA136" s="235">
        <v>177</v>
      </c>
      <c r="AB136" s="235">
        <v>6</v>
      </c>
      <c r="AC136" s="235">
        <v>572242.80750217719</v>
      </c>
      <c r="AD136" s="235">
        <v>-57638.32254261378</v>
      </c>
      <c r="AE136" s="235">
        <v>0</v>
      </c>
    </row>
    <row r="137" spans="1:31" x14ac:dyDescent="0.25">
      <c r="A137" s="111">
        <v>5633</v>
      </c>
      <c r="B137" s="229" t="s">
        <v>229</v>
      </c>
      <c r="C137" s="376">
        <v>3116</v>
      </c>
      <c r="D137" s="379">
        <v>60.5</v>
      </c>
      <c r="E137" s="238">
        <v>1</v>
      </c>
      <c r="F137" s="234">
        <v>6180846.5199999996</v>
      </c>
      <c r="G137" s="235">
        <v>1496919.08</v>
      </c>
      <c r="H137" s="235">
        <v>403587.8</v>
      </c>
      <c r="I137" s="235">
        <v>47811.45</v>
      </c>
      <c r="J137" s="235">
        <v>0</v>
      </c>
      <c r="K137" s="235">
        <v>5437.32</v>
      </c>
      <c r="L137" s="235">
        <v>-29291.62</v>
      </c>
      <c r="M137" s="235"/>
      <c r="N137" s="235">
        <v>42024.639999999999</v>
      </c>
      <c r="O137" s="235">
        <v>758064.15</v>
      </c>
      <c r="P137" s="235">
        <v>219973.82</v>
      </c>
      <c r="Q137" s="235">
        <v>53352.2</v>
      </c>
      <c r="R137" s="235">
        <v>-38281.4</v>
      </c>
      <c r="S137" s="235">
        <v>427251.95</v>
      </c>
      <c r="T137" s="235">
        <v>13690.9</v>
      </c>
      <c r="U137" s="235">
        <v>289492.59999999998</v>
      </c>
      <c r="V137" s="235">
        <v>331730.55</v>
      </c>
      <c r="W137" s="236">
        <f t="shared" ref="W137:W200" si="2">SUM(F137:V137)</f>
        <v>10202609.959999999</v>
      </c>
      <c r="X137" s="235">
        <v>384</v>
      </c>
      <c r="Y137" s="235">
        <v>0</v>
      </c>
      <c r="Z137" s="237">
        <v>4.5999999999999999E-2</v>
      </c>
      <c r="AA137" s="235">
        <v>232</v>
      </c>
      <c r="AB137" s="235">
        <v>81</v>
      </c>
      <c r="AC137" s="235">
        <v>1119194.1514130477</v>
      </c>
      <c r="AD137" s="235">
        <v>-110964.19919127203</v>
      </c>
      <c r="AE137" s="235">
        <v>0</v>
      </c>
    </row>
    <row r="138" spans="1:31" x14ac:dyDescent="0.25">
      <c r="A138" s="111">
        <v>5634</v>
      </c>
      <c r="B138" s="229" t="s">
        <v>230</v>
      </c>
      <c r="C138" s="376">
        <v>3241</v>
      </c>
      <c r="D138" s="379">
        <v>66</v>
      </c>
      <c r="E138" s="238">
        <v>1</v>
      </c>
      <c r="F138" s="234">
        <v>8682448.6500000004</v>
      </c>
      <c r="G138" s="235">
        <v>1650781.76</v>
      </c>
      <c r="H138" s="235">
        <v>79757.399999999994</v>
      </c>
      <c r="I138" s="235">
        <v>25090.65</v>
      </c>
      <c r="J138" s="235">
        <v>38670</v>
      </c>
      <c r="K138" s="235">
        <v>1081.31</v>
      </c>
      <c r="L138" s="235">
        <v>-63093.93</v>
      </c>
      <c r="M138" s="235"/>
      <c r="N138" s="235">
        <v>9761.2099999999991</v>
      </c>
      <c r="O138" s="235">
        <v>806860.65</v>
      </c>
      <c r="P138" s="235">
        <v>103770.42</v>
      </c>
      <c r="Q138" s="235">
        <v>18683.400000000001</v>
      </c>
      <c r="R138" s="235">
        <v>-15247.45</v>
      </c>
      <c r="S138" s="235">
        <v>649989.19999999995</v>
      </c>
      <c r="T138" s="235">
        <v>552086.69999999995</v>
      </c>
      <c r="U138" s="235">
        <v>452779.05</v>
      </c>
      <c r="V138" s="235">
        <v>102596.9</v>
      </c>
      <c r="W138" s="236">
        <f t="shared" si="2"/>
        <v>13096015.920000004</v>
      </c>
      <c r="X138" s="235">
        <v>1325</v>
      </c>
      <c r="Y138" s="235">
        <v>0</v>
      </c>
      <c r="Z138" s="237">
        <v>2.1999999999999999E-2</v>
      </c>
      <c r="AA138" s="235">
        <v>421</v>
      </c>
      <c r="AB138" s="235">
        <v>167</v>
      </c>
      <c r="AC138" s="235">
        <v>419595.96911947551</v>
      </c>
      <c r="AD138" s="235">
        <v>-63666.142016689992</v>
      </c>
      <c r="AE138" s="235">
        <v>0</v>
      </c>
    </row>
    <row r="139" spans="1:31" x14ac:dyDescent="0.25">
      <c r="A139" s="111">
        <v>5635</v>
      </c>
      <c r="B139" s="229" t="s">
        <v>231</v>
      </c>
      <c r="C139" s="376">
        <v>13758</v>
      </c>
      <c r="D139" s="379">
        <v>62.5</v>
      </c>
      <c r="E139" s="238">
        <v>1.2</v>
      </c>
      <c r="F139" s="234">
        <f>19636344.44-3746.5</f>
        <v>19632597.940000001</v>
      </c>
      <c r="G139" s="235">
        <v>3574377.62</v>
      </c>
      <c r="H139" s="235">
        <v>6805818.7000000002</v>
      </c>
      <c r="I139" s="235">
        <v>459771.55</v>
      </c>
      <c r="J139" s="235">
        <v>97844.85</v>
      </c>
      <c r="K139" s="235">
        <v>210919.92</v>
      </c>
      <c r="L139" s="235">
        <v>-652784.30000000005</v>
      </c>
      <c r="M139" s="235"/>
      <c r="N139" s="235">
        <v>676423.03</v>
      </c>
      <c r="O139" s="235">
        <v>3471022.95</v>
      </c>
      <c r="P139" s="235">
        <v>1865422.47</v>
      </c>
      <c r="Q139" s="235">
        <v>525253.69999999995</v>
      </c>
      <c r="R139" s="235">
        <v>-62853.279999999999</v>
      </c>
      <c r="S139" s="235">
        <v>1313126.3500000001</v>
      </c>
      <c r="T139" s="235">
        <v>229678.5</v>
      </c>
      <c r="U139" s="235">
        <v>1015030.05</v>
      </c>
      <c r="V139" s="235">
        <v>2742274.45</v>
      </c>
      <c r="W139" s="236">
        <f t="shared" si="2"/>
        <v>41903924.500000007</v>
      </c>
      <c r="X139" s="235">
        <v>565</v>
      </c>
      <c r="Y139" s="235">
        <v>0</v>
      </c>
      <c r="Z139" s="237">
        <v>5.6000000000000001E-2</v>
      </c>
      <c r="AA139" s="235">
        <v>1425</v>
      </c>
      <c r="AB139" s="235">
        <v>31</v>
      </c>
      <c r="AC139" s="235">
        <v>5456980.96</v>
      </c>
      <c r="AD139" s="235">
        <v>-539256.70132301247</v>
      </c>
      <c r="AE139" s="235">
        <v>1</v>
      </c>
    </row>
    <row r="140" spans="1:31" x14ac:dyDescent="0.25">
      <c r="A140" s="111">
        <v>5636</v>
      </c>
      <c r="B140" s="229" t="s">
        <v>232</v>
      </c>
      <c r="C140" s="376">
        <v>3013</v>
      </c>
      <c r="D140" s="379">
        <v>60</v>
      </c>
      <c r="E140" s="238">
        <v>1</v>
      </c>
      <c r="F140" s="234">
        <v>6738448.9500000002</v>
      </c>
      <c r="G140" s="235">
        <v>1227717.74</v>
      </c>
      <c r="H140" s="235">
        <v>6344012.1500000004</v>
      </c>
      <c r="I140" s="235">
        <v>3017242.65</v>
      </c>
      <c r="J140" s="235">
        <v>0</v>
      </c>
      <c r="K140" s="235">
        <v>211058.38</v>
      </c>
      <c r="L140" s="235">
        <v>-494320.47</v>
      </c>
      <c r="M140" s="235"/>
      <c r="N140" s="235">
        <v>871519.68</v>
      </c>
      <c r="O140" s="235">
        <v>1223910.3999999999</v>
      </c>
      <c r="P140" s="235">
        <v>353136.49</v>
      </c>
      <c r="Q140" s="235">
        <v>219595.25</v>
      </c>
      <c r="R140" s="235">
        <v>-4337.51</v>
      </c>
      <c r="S140" s="235">
        <v>982311.35</v>
      </c>
      <c r="T140" s="235">
        <v>459150.2</v>
      </c>
      <c r="U140" s="235">
        <v>458329.95</v>
      </c>
      <c r="V140" s="235">
        <v>925854.3</v>
      </c>
      <c r="W140" s="236">
        <f t="shared" si="2"/>
        <v>22533629.509999994</v>
      </c>
      <c r="X140" s="235">
        <v>490</v>
      </c>
      <c r="Y140" s="235">
        <v>0</v>
      </c>
      <c r="Z140" s="237">
        <v>2.7E-2</v>
      </c>
      <c r="AA140" s="235">
        <v>286</v>
      </c>
      <c r="AB140" s="235">
        <v>98</v>
      </c>
      <c r="AC140" s="235" t="s">
        <v>566</v>
      </c>
      <c r="AD140" s="235" t="s">
        <v>566</v>
      </c>
      <c r="AE140" s="235">
        <v>0</v>
      </c>
    </row>
    <row r="141" spans="1:31" x14ac:dyDescent="0.25">
      <c r="A141" s="111">
        <v>5637</v>
      </c>
      <c r="B141" s="229" t="s">
        <v>233</v>
      </c>
      <c r="C141" s="376">
        <v>1108</v>
      </c>
      <c r="D141" s="379">
        <v>73</v>
      </c>
      <c r="E141" s="238">
        <v>1.5</v>
      </c>
      <c r="F141" s="234">
        <v>2422996.98</v>
      </c>
      <c r="G141" s="235">
        <v>279819.71999999997</v>
      </c>
      <c r="H141" s="235">
        <v>74892.25</v>
      </c>
      <c r="I141" s="235">
        <v>2542.75</v>
      </c>
      <c r="J141" s="235">
        <v>0</v>
      </c>
      <c r="K141" s="235">
        <v>5037.59</v>
      </c>
      <c r="L141" s="235">
        <v>-110296.99</v>
      </c>
      <c r="M141" s="235"/>
      <c r="N141" s="235">
        <v>7209.09</v>
      </c>
      <c r="O141" s="235">
        <v>316779.75</v>
      </c>
      <c r="P141" s="235">
        <v>81127.78</v>
      </c>
      <c r="Q141" s="235">
        <v>9618.4500000000007</v>
      </c>
      <c r="R141" s="235">
        <v>-1015.81</v>
      </c>
      <c r="S141" s="235">
        <v>101654.85</v>
      </c>
      <c r="T141" s="235">
        <v>2746.3</v>
      </c>
      <c r="U141" s="235">
        <v>-160.44999999999999</v>
      </c>
      <c r="V141" s="235">
        <v>438303.6</v>
      </c>
      <c r="W141" s="236">
        <f t="shared" si="2"/>
        <v>3631255.8599999994</v>
      </c>
      <c r="X141" s="235">
        <v>395</v>
      </c>
      <c r="Y141" s="235">
        <v>0</v>
      </c>
      <c r="Z141" s="237">
        <v>4.7E-2</v>
      </c>
      <c r="AA141" s="235">
        <v>136</v>
      </c>
      <c r="AB141" s="235">
        <v>47</v>
      </c>
      <c r="AC141" s="235" t="s">
        <v>566</v>
      </c>
      <c r="AD141" s="235" t="s">
        <v>566</v>
      </c>
      <c r="AE141" s="235">
        <v>0</v>
      </c>
    </row>
    <row r="142" spans="1:31" x14ac:dyDescent="0.25">
      <c r="A142" s="111">
        <v>5638</v>
      </c>
      <c r="B142" s="229" t="s">
        <v>234</v>
      </c>
      <c r="C142" s="376">
        <v>2719</v>
      </c>
      <c r="D142" s="379">
        <v>55</v>
      </c>
      <c r="E142" s="238">
        <v>1</v>
      </c>
      <c r="F142" s="234">
        <v>6099021.0099999998</v>
      </c>
      <c r="G142" s="235">
        <v>1454276.99</v>
      </c>
      <c r="H142" s="235">
        <v>353684.45</v>
      </c>
      <c r="I142" s="235">
        <v>93407</v>
      </c>
      <c r="J142" s="235">
        <v>105106.25</v>
      </c>
      <c r="K142" s="235">
        <v>84866.89</v>
      </c>
      <c r="L142" s="235">
        <v>-93479.07</v>
      </c>
      <c r="M142" s="235"/>
      <c r="N142" s="235">
        <v>41921.5</v>
      </c>
      <c r="O142" s="235">
        <v>747999.2</v>
      </c>
      <c r="P142" s="235">
        <v>151871.84</v>
      </c>
      <c r="Q142" s="235">
        <v>68351.100000000006</v>
      </c>
      <c r="R142" s="235">
        <v>-2820.4</v>
      </c>
      <c r="S142" s="235">
        <v>706892.4</v>
      </c>
      <c r="T142" s="235">
        <v>1171886.5</v>
      </c>
      <c r="U142" s="235">
        <v>1040979.55</v>
      </c>
      <c r="V142" s="235">
        <v>412525.9</v>
      </c>
      <c r="W142" s="236">
        <f t="shared" si="2"/>
        <v>12436491.109999999</v>
      </c>
      <c r="X142" s="235">
        <v>369</v>
      </c>
      <c r="Y142" s="235">
        <v>0</v>
      </c>
      <c r="Z142" s="237">
        <v>0.04</v>
      </c>
      <c r="AA142" s="235">
        <v>247</v>
      </c>
      <c r="AB142" s="235">
        <v>8</v>
      </c>
      <c r="AC142" s="235">
        <v>1128006.0240026347</v>
      </c>
      <c r="AD142" s="235">
        <v>-122771.19595909852</v>
      </c>
      <c r="AE142" s="235">
        <v>0</v>
      </c>
    </row>
    <row r="143" spans="1:31" x14ac:dyDescent="0.25">
      <c r="A143" s="111">
        <v>5639</v>
      </c>
      <c r="B143" s="229" t="s">
        <v>235</v>
      </c>
      <c r="C143" s="376">
        <v>824</v>
      </c>
      <c r="D143" s="379">
        <v>58</v>
      </c>
      <c r="E143" s="238">
        <v>1.25</v>
      </c>
      <c r="F143" s="234">
        <v>2355334.2799999998</v>
      </c>
      <c r="G143" s="235">
        <v>683602.85</v>
      </c>
      <c r="H143" s="235">
        <v>82788.100000000006</v>
      </c>
      <c r="I143" s="235">
        <v>3379.85</v>
      </c>
      <c r="J143" s="235">
        <v>0</v>
      </c>
      <c r="K143" s="235">
        <v>0</v>
      </c>
      <c r="L143" s="235">
        <v>-6908.01</v>
      </c>
      <c r="M143" s="235"/>
      <c r="N143" s="235">
        <v>8022.12</v>
      </c>
      <c r="O143" s="235">
        <v>279676.90000000002</v>
      </c>
      <c r="P143" s="235">
        <v>95276.89</v>
      </c>
      <c r="Q143" s="235">
        <v>3763.85</v>
      </c>
      <c r="R143" s="235">
        <v>-6112.7</v>
      </c>
      <c r="S143" s="235">
        <v>100864.5</v>
      </c>
      <c r="T143" s="235">
        <v>117759.2</v>
      </c>
      <c r="U143" s="235">
        <v>95103.6</v>
      </c>
      <c r="V143" s="235">
        <v>19947.599999999999</v>
      </c>
      <c r="W143" s="236">
        <f t="shared" si="2"/>
        <v>3832499.0300000007</v>
      </c>
      <c r="X143" s="235">
        <v>203</v>
      </c>
      <c r="Y143" s="235">
        <v>0</v>
      </c>
      <c r="Z143" s="237">
        <v>5.3999999999999999E-2</v>
      </c>
      <c r="AA143" s="235">
        <v>109</v>
      </c>
      <c r="AB143" s="235">
        <v>34</v>
      </c>
      <c r="AC143" s="235">
        <v>182999.17474505477</v>
      </c>
      <c r="AD143" s="235">
        <v>-21877.432225781347</v>
      </c>
      <c r="AE143" s="235">
        <v>0</v>
      </c>
    </row>
    <row r="144" spans="1:31" x14ac:dyDescent="0.25">
      <c r="A144" s="111">
        <v>5640</v>
      </c>
      <c r="B144" s="229" t="s">
        <v>236</v>
      </c>
      <c r="C144" s="376">
        <v>721</v>
      </c>
      <c r="D144" s="379">
        <v>61.5</v>
      </c>
      <c r="E144" s="238">
        <v>1</v>
      </c>
      <c r="F144" s="234">
        <v>2989685.12</v>
      </c>
      <c r="G144" s="235">
        <v>636582.63</v>
      </c>
      <c r="H144" s="235">
        <v>69828.800000000003</v>
      </c>
      <c r="I144" s="235">
        <v>4955</v>
      </c>
      <c r="J144" s="235">
        <v>88555.15</v>
      </c>
      <c r="K144" s="235">
        <v>0</v>
      </c>
      <c r="L144" s="235">
        <v>-7784.13</v>
      </c>
      <c r="M144" s="235"/>
      <c r="N144" s="235">
        <v>6962.27</v>
      </c>
      <c r="O144" s="235">
        <v>226384.35</v>
      </c>
      <c r="P144" s="235">
        <v>18849.43</v>
      </c>
      <c r="Q144" s="235">
        <v>10925.25</v>
      </c>
      <c r="R144" s="235">
        <v>-15299.95</v>
      </c>
      <c r="S144" s="235">
        <v>44313.5</v>
      </c>
      <c r="T144" s="235">
        <v>342.7</v>
      </c>
      <c r="U144" s="235">
        <v>51563.3</v>
      </c>
      <c r="V144" s="235">
        <v>20850.45</v>
      </c>
      <c r="W144" s="236">
        <f t="shared" si="2"/>
        <v>4146713.87</v>
      </c>
      <c r="X144" s="235">
        <v>235</v>
      </c>
      <c r="Y144" s="235">
        <v>0</v>
      </c>
      <c r="Z144" s="237">
        <v>3.6999999999999998E-2</v>
      </c>
      <c r="AA144" s="235">
        <v>103</v>
      </c>
      <c r="AB144" s="235">
        <v>86</v>
      </c>
      <c r="AC144" s="235">
        <v>205285.86916955173</v>
      </c>
      <c r="AD144" s="235">
        <v>-25253.256667498761</v>
      </c>
      <c r="AE144" s="235">
        <v>1</v>
      </c>
    </row>
    <row r="145" spans="1:31" x14ac:dyDescent="0.25">
      <c r="A145" s="111">
        <v>5642</v>
      </c>
      <c r="B145" s="229" t="s">
        <v>67</v>
      </c>
      <c r="C145" s="376">
        <v>17813</v>
      </c>
      <c r="D145" s="379">
        <v>67</v>
      </c>
      <c r="E145" s="238">
        <v>1</v>
      </c>
      <c r="F145" s="234">
        <v>39660506.460000001</v>
      </c>
      <c r="G145" s="235">
        <v>6667022.6699999999</v>
      </c>
      <c r="H145" s="235">
        <v>6798421.5499999998</v>
      </c>
      <c r="I145" s="235">
        <v>636404.80000000005</v>
      </c>
      <c r="J145" s="235">
        <v>343019.23</v>
      </c>
      <c r="K145" s="235">
        <v>212045.04</v>
      </c>
      <c r="L145" s="235">
        <v>-495508.68</v>
      </c>
      <c r="M145" s="235"/>
      <c r="N145" s="235">
        <v>692195.17</v>
      </c>
      <c r="O145" s="235">
        <v>3972675.15</v>
      </c>
      <c r="P145" s="235">
        <v>2287087.19</v>
      </c>
      <c r="Q145" s="235">
        <v>584768.35</v>
      </c>
      <c r="R145" s="235">
        <v>-78784.44</v>
      </c>
      <c r="S145" s="235">
        <v>2974232.4</v>
      </c>
      <c r="T145" s="235">
        <v>1945918.8</v>
      </c>
      <c r="U145" s="235">
        <v>2244241.5499999998</v>
      </c>
      <c r="V145" s="235">
        <v>2019887.75</v>
      </c>
      <c r="W145" s="236">
        <f t="shared" si="2"/>
        <v>70464132.989999995</v>
      </c>
      <c r="X145" s="235">
        <v>385</v>
      </c>
      <c r="Y145" s="235">
        <v>0</v>
      </c>
      <c r="Z145" s="237">
        <v>5.2999999999999999E-2</v>
      </c>
      <c r="AA145" s="235">
        <v>1668</v>
      </c>
      <c r="AB145" s="235">
        <v>23</v>
      </c>
      <c r="AC145" s="235">
        <v>5192324.4757985147</v>
      </c>
      <c r="AD145" s="235">
        <v>-599795.04757458344</v>
      </c>
      <c r="AE145" s="235">
        <v>1</v>
      </c>
    </row>
    <row r="146" spans="1:31" x14ac:dyDescent="0.25">
      <c r="A146" s="111">
        <v>5643</v>
      </c>
      <c r="B146" s="229" t="s">
        <v>237</v>
      </c>
      <c r="C146" s="376">
        <v>5236</v>
      </c>
      <c r="D146" s="379">
        <v>65</v>
      </c>
      <c r="E146" s="238">
        <v>1</v>
      </c>
      <c r="F146" s="234">
        <v>11924883.689999999</v>
      </c>
      <c r="G146" s="235">
        <v>2403616.87</v>
      </c>
      <c r="H146" s="235">
        <v>2754095</v>
      </c>
      <c r="I146" s="235">
        <v>67790.3</v>
      </c>
      <c r="J146" s="235">
        <v>479796.55</v>
      </c>
      <c r="K146" s="235">
        <v>42104.12</v>
      </c>
      <c r="L146" s="235">
        <v>-279982.82</v>
      </c>
      <c r="M146" s="235"/>
      <c r="N146" s="235">
        <v>262587.88</v>
      </c>
      <c r="O146" s="235">
        <v>1220502.6499999999</v>
      </c>
      <c r="P146" s="235">
        <v>290596.19</v>
      </c>
      <c r="Q146" s="235">
        <v>22463.65</v>
      </c>
      <c r="R146" s="235">
        <v>-46195.6</v>
      </c>
      <c r="S146" s="235">
        <v>741618.3</v>
      </c>
      <c r="T146" s="235">
        <v>159498</v>
      </c>
      <c r="U146" s="235">
        <v>456211.5</v>
      </c>
      <c r="V146" s="235">
        <v>253103</v>
      </c>
      <c r="W146" s="236">
        <f t="shared" si="2"/>
        <v>20752689.279999997</v>
      </c>
      <c r="X146" s="235">
        <v>182</v>
      </c>
      <c r="Y146" s="235">
        <v>0</v>
      </c>
      <c r="Z146" s="237">
        <v>3.3000000000000002E-2</v>
      </c>
      <c r="AA146" s="235">
        <v>571</v>
      </c>
      <c r="AB146" s="235">
        <v>21</v>
      </c>
      <c r="AC146" s="235">
        <v>1177582.7305990045</v>
      </c>
      <c r="AD146" s="235">
        <v>-127344.3348509788</v>
      </c>
      <c r="AE146" s="235">
        <v>1</v>
      </c>
    </row>
    <row r="147" spans="1:31" x14ac:dyDescent="0.25">
      <c r="A147" s="111">
        <v>5645</v>
      </c>
      <c r="B147" s="229" t="s">
        <v>238</v>
      </c>
      <c r="C147" s="376">
        <v>462</v>
      </c>
      <c r="D147" s="379">
        <v>56</v>
      </c>
      <c r="E147" s="238">
        <v>1</v>
      </c>
      <c r="F147" s="234">
        <v>991929.88</v>
      </c>
      <c r="G147" s="235">
        <v>223610.23999999999</v>
      </c>
      <c r="H147" s="235">
        <v>38827.800000000003</v>
      </c>
      <c r="I147" s="235">
        <v>27317.1</v>
      </c>
      <c r="J147" s="235">
        <v>0</v>
      </c>
      <c r="K147" s="235">
        <v>0</v>
      </c>
      <c r="L147" s="235">
        <v>-12300.43</v>
      </c>
      <c r="M147" s="235"/>
      <c r="N147" s="235">
        <v>6158</v>
      </c>
      <c r="O147" s="235">
        <v>166147.20000000001</v>
      </c>
      <c r="P147" s="235">
        <v>29915.27</v>
      </c>
      <c r="Q147" s="235">
        <v>20865</v>
      </c>
      <c r="R147" s="235">
        <v>-7244.49</v>
      </c>
      <c r="S147" s="235">
        <v>97994.4</v>
      </c>
      <c r="T147" s="235">
        <v>17095.099999999999</v>
      </c>
      <c r="U147" s="235">
        <v>95963.75</v>
      </c>
      <c r="V147" s="235">
        <v>55492.9</v>
      </c>
      <c r="W147" s="236">
        <f t="shared" si="2"/>
        <v>1751771.7200000002</v>
      </c>
      <c r="X147" s="235">
        <v>170</v>
      </c>
      <c r="Y147" s="235">
        <v>0</v>
      </c>
      <c r="Z147" s="237">
        <v>7.9000000000000001E-2</v>
      </c>
      <c r="AA147" s="235">
        <v>39</v>
      </c>
      <c r="AB147" s="235">
        <v>21</v>
      </c>
      <c r="AC147" s="235" t="s">
        <v>566</v>
      </c>
      <c r="AD147" s="235" t="s">
        <v>566</v>
      </c>
      <c r="AE147" s="235">
        <v>0</v>
      </c>
    </row>
    <row r="148" spans="1:31" x14ac:dyDescent="0.25">
      <c r="A148" s="111">
        <v>5646</v>
      </c>
      <c r="B148" s="229" t="s">
        <v>239</v>
      </c>
      <c r="C148" s="376">
        <v>5922</v>
      </c>
      <c r="D148" s="379">
        <v>59</v>
      </c>
      <c r="E148" s="238">
        <v>1.2</v>
      </c>
      <c r="F148" s="234">
        <v>14396208.09</v>
      </c>
      <c r="G148" s="235">
        <v>4009701.34</v>
      </c>
      <c r="H148" s="235">
        <v>5904248.5999999996</v>
      </c>
      <c r="I148" s="235">
        <v>6338923.6500000004</v>
      </c>
      <c r="J148" s="235">
        <v>848683.65</v>
      </c>
      <c r="K148" s="235">
        <v>9107.4599999999991</v>
      </c>
      <c r="L148" s="235">
        <v>-254979.02</v>
      </c>
      <c r="M148" s="235"/>
      <c r="N148" s="235">
        <v>1139822.1499999999</v>
      </c>
      <c r="O148" s="235">
        <v>2207267.5</v>
      </c>
      <c r="P148" s="235">
        <v>624688.1</v>
      </c>
      <c r="Q148" s="235">
        <v>86503.15</v>
      </c>
      <c r="R148" s="235">
        <v>-66809.350000000006</v>
      </c>
      <c r="S148" s="235">
        <v>1292845.1499999999</v>
      </c>
      <c r="T148" s="235">
        <v>15719190.800000001</v>
      </c>
      <c r="U148" s="235">
        <v>1592092.05</v>
      </c>
      <c r="V148" s="235">
        <v>721457.85</v>
      </c>
      <c r="W148" s="236">
        <f t="shared" si="2"/>
        <v>54568951.169999994</v>
      </c>
      <c r="X148" s="235">
        <v>551</v>
      </c>
      <c r="Y148" s="235">
        <v>0</v>
      </c>
      <c r="Z148" s="237">
        <v>4.3999999999999997E-2</v>
      </c>
      <c r="AA148" s="235">
        <v>658</v>
      </c>
      <c r="AB148" s="235">
        <v>16</v>
      </c>
      <c r="AC148" s="235" t="s">
        <v>566</v>
      </c>
      <c r="AD148" s="235" t="s">
        <v>566</v>
      </c>
      <c r="AE148" s="235">
        <v>1</v>
      </c>
    </row>
    <row r="149" spans="1:31" x14ac:dyDescent="0.25">
      <c r="A149" s="111">
        <v>5648</v>
      </c>
      <c r="B149" s="229" t="s">
        <v>240</v>
      </c>
      <c r="C149" s="376">
        <v>5193</v>
      </c>
      <c r="D149" s="379">
        <v>55</v>
      </c>
      <c r="E149" s="238">
        <v>0.8</v>
      </c>
      <c r="F149" s="234">
        <v>14033496.550000001</v>
      </c>
      <c r="G149" s="235">
        <v>4764215.5199999996</v>
      </c>
      <c r="H149" s="235">
        <v>883480.35</v>
      </c>
      <c r="I149" s="235">
        <v>71259.199999999997</v>
      </c>
      <c r="J149" s="235">
        <v>517631.15</v>
      </c>
      <c r="K149" s="235">
        <v>9369.17</v>
      </c>
      <c r="L149" s="235">
        <v>-76117.08</v>
      </c>
      <c r="M149" s="235"/>
      <c r="N149" s="235">
        <v>88884.91</v>
      </c>
      <c r="O149" s="235">
        <v>1512376.81</v>
      </c>
      <c r="P149" s="235">
        <v>321171.03999999998</v>
      </c>
      <c r="Q149" s="235">
        <v>233242.55</v>
      </c>
      <c r="R149" s="235">
        <v>-55396.47</v>
      </c>
      <c r="S149" s="235">
        <v>1934707.8</v>
      </c>
      <c r="T149" s="235">
        <v>32686</v>
      </c>
      <c r="U149" s="235">
        <v>2028251.95</v>
      </c>
      <c r="V149" s="235">
        <v>102476.5</v>
      </c>
      <c r="W149" s="236">
        <f t="shared" si="2"/>
        <v>26401735.950000003</v>
      </c>
      <c r="X149" s="235">
        <v>181</v>
      </c>
      <c r="Y149" s="235">
        <v>0</v>
      </c>
      <c r="Z149" s="237">
        <v>3.6999999999999998E-2</v>
      </c>
      <c r="AA149" s="235">
        <v>467</v>
      </c>
      <c r="AB149" s="235">
        <v>96</v>
      </c>
      <c r="AC149" s="235">
        <v>2453666</v>
      </c>
      <c r="AD149" s="235">
        <v>-196525.77841295622</v>
      </c>
      <c r="AE149" s="235">
        <v>1</v>
      </c>
    </row>
    <row r="150" spans="1:31" x14ac:dyDescent="0.25">
      <c r="A150" s="111">
        <v>5649</v>
      </c>
      <c r="B150" s="229" t="s">
        <v>241</v>
      </c>
      <c r="C150" s="376">
        <v>1928</v>
      </c>
      <c r="D150" s="379">
        <v>64</v>
      </c>
      <c r="E150" s="238">
        <v>1</v>
      </c>
      <c r="F150" s="234">
        <v>4541564.51</v>
      </c>
      <c r="G150" s="235">
        <v>697496.27</v>
      </c>
      <c r="H150" s="235">
        <v>19930524.100000001</v>
      </c>
      <c r="I150" s="235">
        <v>-716470.3</v>
      </c>
      <c r="J150" s="235">
        <v>28981.35</v>
      </c>
      <c r="K150" s="235">
        <v>46680.87</v>
      </c>
      <c r="L150" s="235">
        <v>-47339.199999999997</v>
      </c>
      <c r="M150" s="235"/>
      <c r="N150" s="235">
        <v>1788801.43</v>
      </c>
      <c r="O150" s="235">
        <v>636299.15</v>
      </c>
      <c r="P150" s="235">
        <v>294980.7</v>
      </c>
      <c r="Q150" s="235">
        <v>98091.55</v>
      </c>
      <c r="R150" s="235">
        <v>-12104.9</v>
      </c>
      <c r="S150" s="235">
        <v>189750</v>
      </c>
      <c r="T150" s="235">
        <v>31250</v>
      </c>
      <c r="U150" s="235">
        <v>134399.9</v>
      </c>
      <c r="V150" s="235">
        <v>125211.2</v>
      </c>
      <c r="W150" s="236">
        <f t="shared" si="2"/>
        <v>27768116.630000003</v>
      </c>
      <c r="X150" s="235">
        <v>157</v>
      </c>
      <c r="Y150" s="235">
        <v>0</v>
      </c>
      <c r="Z150" s="237">
        <v>5.3999999999999999E-2</v>
      </c>
      <c r="AA150" s="235">
        <v>229</v>
      </c>
      <c r="AB150" s="235">
        <v>74</v>
      </c>
      <c r="AC150" s="235">
        <v>786825.79765053967</v>
      </c>
      <c r="AD150" s="235">
        <v>-92889.218548725708</v>
      </c>
      <c r="AE150" s="235">
        <v>1</v>
      </c>
    </row>
    <row r="151" spans="1:31" x14ac:dyDescent="0.25">
      <c r="A151" s="111">
        <v>5650</v>
      </c>
      <c r="B151" s="229" t="s">
        <v>242</v>
      </c>
      <c r="C151" s="376">
        <v>185</v>
      </c>
      <c r="D151" s="379">
        <v>56</v>
      </c>
      <c r="E151" s="238">
        <v>1.25</v>
      </c>
      <c r="F151" s="234">
        <v>2682485.42</v>
      </c>
      <c r="G151" s="235">
        <v>3633636.9</v>
      </c>
      <c r="H151" s="235">
        <v>7822.6</v>
      </c>
      <c r="I151" s="235">
        <v>654.54999999999995</v>
      </c>
      <c r="J151" s="235">
        <v>0</v>
      </c>
      <c r="K151" s="235">
        <v>0</v>
      </c>
      <c r="L151" s="235">
        <v>-1939.34</v>
      </c>
      <c r="M151" s="235"/>
      <c r="N151" s="235">
        <v>789.21</v>
      </c>
      <c r="O151" s="235">
        <v>58463</v>
      </c>
      <c r="P151" s="235">
        <v>381.91</v>
      </c>
      <c r="Q151" s="235">
        <v>0</v>
      </c>
      <c r="R151" s="235">
        <v>-4738.5</v>
      </c>
      <c r="S151" s="235">
        <v>29.45</v>
      </c>
      <c r="T151" s="235">
        <v>0</v>
      </c>
      <c r="U151" s="235">
        <v>0</v>
      </c>
      <c r="V151" s="235">
        <v>102.05</v>
      </c>
      <c r="W151" s="236">
        <f t="shared" si="2"/>
        <v>6377687.25</v>
      </c>
      <c r="X151" s="235">
        <v>211</v>
      </c>
      <c r="Y151" s="235">
        <v>0</v>
      </c>
      <c r="Z151" s="237">
        <v>4.3999999999999997E-2</v>
      </c>
      <c r="AA151" s="235">
        <v>21</v>
      </c>
      <c r="AB151" s="235">
        <v>11</v>
      </c>
      <c r="AC151" s="235" t="s">
        <v>566</v>
      </c>
      <c r="AD151" s="235" t="s">
        <v>566</v>
      </c>
      <c r="AE151" s="235">
        <v>0</v>
      </c>
    </row>
    <row r="152" spans="1:31" x14ac:dyDescent="0.25">
      <c r="A152" s="111">
        <v>5651</v>
      </c>
      <c r="B152" s="229" t="s">
        <v>243</v>
      </c>
      <c r="C152" s="376">
        <v>943</v>
      </c>
      <c r="D152" s="379">
        <v>60.5</v>
      </c>
      <c r="E152" s="238">
        <v>1</v>
      </c>
      <c r="F152" s="234">
        <v>1985291.23</v>
      </c>
      <c r="G152" s="235">
        <v>344238.32</v>
      </c>
      <c r="H152" s="235">
        <v>590650.85</v>
      </c>
      <c r="I152" s="235">
        <v>8333.4500000000007</v>
      </c>
      <c r="J152" s="235">
        <v>0</v>
      </c>
      <c r="K152" s="235">
        <v>2329.69</v>
      </c>
      <c r="L152" s="235">
        <v>-170100.47</v>
      </c>
      <c r="M152" s="235"/>
      <c r="N152" s="235">
        <v>55126.09</v>
      </c>
      <c r="O152" s="235">
        <v>394373.3</v>
      </c>
      <c r="P152" s="235">
        <v>36756.1</v>
      </c>
      <c r="Q152" s="235">
        <v>33474.400000000001</v>
      </c>
      <c r="R152" s="235">
        <v>-6904.3</v>
      </c>
      <c r="S152" s="235">
        <v>204860.4</v>
      </c>
      <c r="T152" s="235">
        <v>0</v>
      </c>
      <c r="U152" s="235">
        <v>191014.15</v>
      </c>
      <c r="V152" s="235">
        <v>218651.9</v>
      </c>
      <c r="W152" s="236">
        <f t="shared" si="2"/>
        <v>3888095.1099999994</v>
      </c>
      <c r="X152" s="235">
        <v>164</v>
      </c>
      <c r="Y152" s="235">
        <v>0</v>
      </c>
      <c r="Z152" s="237">
        <v>6.4000000000000001E-2</v>
      </c>
      <c r="AA152" s="235">
        <v>116</v>
      </c>
      <c r="AB152" s="235">
        <v>57</v>
      </c>
      <c r="AC152" s="235">
        <v>493146</v>
      </c>
      <c r="AD152" s="235">
        <v>-87879.72</v>
      </c>
      <c r="AE152" s="235">
        <v>1</v>
      </c>
    </row>
    <row r="153" spans="1:31" x14ac:dyDescent="0.25">
      <c r="A153" s="111">
        <v>5652</v>
      </c>
      <c r="B153" s="229" t="s">
        <v>244</v>
      </c>
      <c r="C153" s="376">
        <v>603</v>
      </c>
      <c r="D153" s="379">
        <v>74</v>
      </c>
      <c r="E153" s="238">
        <v>1.2</v>
      </c>
      <c r="F153" s="234">
        <v>1390841.16</v>
      </c>
      <c r="G153" s="235">
        <v>230883.55</v>
      </c>
      <c r="H153" s="235">
        <v>17697.349999999999</v>
      </c>
      <c r="I153" s="235">
        <v>3664.9</v>
      </c>
      <c r="J153" s="235">
        <v>0</v>
      </c>
      <c r="K153" s="235">
        <v>177.77</v>
      </c>
      <c r="L153" s="235">
        <v>-16971.79</v>
      </c>
      <c r="M153" s="235"/>
      <c r="N153" s="235">
        <v>1984.14</v>
      </c>
      <c r="O153" s="235">
        <v>148540.29999999999</v>
      </c>
      <c r="P153" s="235">
        <v>19185.349999999999</v>
      </c>
      <c r="Q153" s="235">
        <v>1608.15</v>
      </c>
      <c r="R153" s="235">
        <v>-7539.75</v>
      </c>
      <c r="S153" s="235">
        <v>105443.45</v>
      </c>
      <c r="T153" s="235">
        <v>3189.9</v>
      </c>
      <c r="U153" s="235">
        <v>60834.35</v>
      </c>
      <c r="V153" s="235">
        <v>370.85</v>
      </c>
      <c r="W153" s="236">
        <f t="shared" si="2"/>
        <v>1959909.68</v>
      </c>
      <c r="X153" s="235">
        <v>307</v>
      </c>
      <c r="Y153" s="235">
        <v>0</v>
      </c>
      <c r="Z153" s="237">
        <v>3.9E-2</v>
      </c>
      <c r="AA153" s="235">
        <v>65</v>
      </c>
      <c r="AB153" s="235">
        <v>34</v>
      </c>
      <c r="AC153" s="235" t="s">
        <v>566</v>
      </c>
      <c r="AD153" s="235" t="s">
        <v>566</v>
      </c>
      <c r="AE153" s="235">
        <v>0</v>
      </c>
    </row>
    <row r="154" spans="1:31" x14ac:dyDescent="0.25">
      <c r="A154" s="111">
        <v>5653</v>
      </c>
      <c r="B154" s="229" t="s">
        <v>245</v>
      </c>
      <c r="C154" s="376">
        <v>887</v>
      </c>
      <c r="D154" s="379">
        <v>60.5</v>
      </c>
      <c r="E154" s="238">
        <v>0.8</v>
      </c>
      <c r="F154" s="234">
        <v>3282382.98</v>
      </c>
      <c r="G154" s="235">
        <v>823486.46</v>
      </c>
      <c r="H154" s="235">
        <v>30347.25</v>
      </c>
      <c r="I154" s="235">
        <v>2091.8000000000002</v>
      </c>
      <c r="J154" s="235">
        <v>20719.95</v>
      </c>
      <c r="K154" s="235">
        <v>41.61</v>
      </c>
      <c r="L154" s="235">
        <v>-5149.45</v>
      </c>
      <c r="M154" s="235"/>
      <c r="N154" s="235">
        <v>3020.03</v>
      </c>
      <c r="O154" s="235">
        <v>221719.9</v>
      </c>
      <c r="P154" s="235">
        <v>19247.77</v>
      </c>
      <c r="Q154" s="235">
        <v>1714.4</v>
      </c>
      <c r="R154" s="235">
        <v>-24318.9</v>
      </c>
      <c r="S154" s="235">
        <v>266409.8</v>
      </c>
      <c r="T154" s="235">
        <v>1560000.4</v>
      </c>
      <c r="U154" s="235">
        <v>427325.55</v>
      </c>
      <c r="V154" s="235">
        <v>2148.3000000000002</v>
      </c>
      <c r="W154" s="236">
        <f t="shared" si="2"/>
        <v>6631187.8499999978</v>
      </c>
      <c r="X154" s="235">
        <v>215</v>
      </c>
      <c r="Y154" s="235">
        <v>0</v>
      </c>
      <c r="Z154" s="237">
        <v>7.8E-2</v>
      </c>
      <c r="AA154" s="235">
        <v>96</v>
      </c>
      <c r="AB154" s="235">
        <v>53</v>
      </c>
      <c r="AC154" s="235" t="s">
        <v>566</v>
      </c>
      <c r="AD154" s="235" t="s">
        <v>566</v>
      </c>
      <c r="AE154" s="235">
        <v>0</v>
      </c>
    </row>
    <row r="155" spans="1:31" x14ac:dyDescent="0.25">
      <c r="A155" s="111">
        <v>5654</v>
      </c>
      <c r="B155" s="229" t="s">
        <v>246</v>
      </c>
      <c r="C155" s="376">
        <v>577</v>
      </c>
      <c r="D155" s="379">
        <v>76</v>
      </c>
      <c r="E155" s="238">
        <v>1</v>
      </c>
      <c r="F155" s="234">
        <v>1361208.86</v>
      </c>
      <c r="G155" s="235">
        <v>311530.74</v>
      </c>
      <c r="H155" s="235">
        <v>52124.2</v>
      </c>
      <c r="I155" s="235">
        <v>904.8</v>
      </c>
      <c r="J155" s="235">
        <v>0</v>
      </c>
      <c r="K155" s="235">
        <v>86.39</v>
      </c>
      <c r="L155" s="235">
        <v>-10733.05</v>
      </c>
      <c r="M155" s="235"/>
      <c r="N155" s="235">
        <v>4936.93</v>
      </c>
      <c r="O155" s="235">
        <v>121668.75</v>
      </c>
      <c r="P155" s="235">
        <v>60690.53</v>
      </c>
      <c r="Q155" s="235">
        <v>1902.5</v>
      </c>
      <c r="R155" s="235">
        <v>-974.5</v>
      </c>
      <c r="S155" s="235">
        <v>97484.45</v>
      </c>
      <c r="T155" s="235">
        <v>0</v>
      </c>
      <c r="U155" s="235">
        <v>48468.35</v>
      </c>
      <c r="V155" s="235">
        <v>5449.1</v>
      </c>
      <c r="W155" s="236">
        <f t="shared" si="2"/>
        <v>2054748.05</v>
      </c>
      <c r="X155" s="235">
        <v>681</v>
      </c>
      <c r="Y155" s="235">
        <v>0</v>
      </c>
      <c r="Z155" s="237">
        <v>1.6E-2</v>
      </c>
      <c r="AA155" s="235">
        <v>74</v>
      </c>
      <c r="AB155" s="235">
        <v>74</v>
      </c>
      <c r="AC155" s="235" t="s">
        <v>566</v>
      </c>
      <c r="AD155" s="235" t="s">
        <v>566</v>
      </c>
      <c r="AE155" s="235">
        <v>0</v>
      </c>
    </row>
    <row r="156" spans="1:31" x14ac:dyDescent="0.25">
      <c r="A156" s="111">
        <v>5655</v>
      </c>
      <c r="B156" s="229" t="s">
        <v>247</v>
      </c>
      <c r="C156" s="376">
        <v>1481</v>
      </c>
      <c r="D156" s="379">
        <v>70</v>
      </c>
      <c r="E156" s="238">
        <v>1</v>
      </c>
      <c r="F156" s="234">
        <v>5441520.1900000004</v>
      </c>
      <c r="G156" s="235">
        <v>973410.59</v>
      </c>
      <c r="H156" s="235">
        <v>73659.5</v>
      </c>
      <c r="I156" s="235">
        <v>3188.95</v>
      </c>
      <c r="J156" s="235">
        <v>213333.25</v>
      </c>
      <c r="K156" s="235">
        <v>11472.35</v>
      </c>
      <c r="L156" s="235">
        <v>-31589.99</v>
      </c>
      <c r="M156" s="235"/>
      <c r="N156" s="235">
        <v>7154.48</v>
      </c>
      <c r="O156" s="235">
        <v>460751.8</v>
      </c>
      <c r="P156" s="235">
        <v>108124.78</v>
      </c>
      <c r="Q156" s="235">
        <v>4589.2</v>
      </c>
      <c r="R156" s="235">
        <v>-22781.8</v>
      </c>
      <c r="S156" s="235">
        <v>288510.84999999998</v>
      </c>
      <c r="T156" s="235">
        <v>907642.7</v>
      </c>
      <c r="U156" s="235">
        <v>143372.65</v>
      </c>
      <c r="V156" s="235">
        <v>75428.600000000006</v>
      </c>
      <c r="W156" s="236">
        <f t="shared" si="2"/>
        <v>8657788.0999999996</v>
      </c>
      <c r="X156" s="235">
        <v>951</v>
      </c>
      <c r="Y156" s="235">
        <v>0</v>
      </c>
      <c r="Z156" s="237">
        <v>4.2999999999999997E-2</v>
      </c>
      <c r="AA156" s="235">
        <v>179</v>
      </c>
      <c r="AB156" s="235">
        <v>52</v>
      </c>
      <c r="AC156" s="235" t="s">
        <v>566</v>
      </c>
      <c r="AD156" s="235" t="s">
        <v>566</v>
      </c>
      <c r="AE156" s="235">
        <v>0</v>
      </c>
    </row>
    <row r="157" spans="1:31" x14ac:dyDescent="0.25">
      <c r="A157" s="111">
        <v>5656</v>
      </c>
      <c r="B157" s="229" t="s">
        <v>248</v>
      </c>
      <c r="C157" s="376">
        <v>4426</v>
      </c>
      <c r="D157" s="379">
        <v>68</v>
      </c>
      <c r="E157" s="238">
        <v>1</v>
      </c>
      <c r="F157" s="234">
        <v>9127717.8900000006</v>
      </c>
      <c r="G157" s="235">
        <v>1493316.48</v>
      </c>
      <c r="H157" s="235">
        <v>253285.9</v>
      </c>
      <c r="I157" s="235">
        <v>6569.85</v>
      </c>
      <c r="J157" s="235">
        <v>183682.61</v>
      </c>
      <c r="K157" s="235">
        <v>25176.89</v>
      </c>
      <c r="L157" s="235">
        <v>-97753.01</v>
      </c>
      <c r="M157" s="235"/>
      <c r="N157" s="235">
        <v>24192.21</v>
      </c>
      <c r="O157" s="235">
        <v>964115.1</v>
      </c>
      <c r="P157" s="235">
        <v>220978.43</v>
      </c>
      <c r="Q157" s="235">
        <v>35682</v>
      </c>
      <c r="R157" s="235">
        <v>-5098.55</v>
      </c>
      <c r="S157" s="235">
        <v>705231.9</v>
      </c>
      <c r="T157" s="235">
        <v>131257.4</v>
      </c>
      <c r="U157" s="235">
        <v>504106.15</v>
      </c>
      <c r="V157" s="235">
        <v>108019.3</v>
      </c>
      <c r="W157" s="236">
        <f t="shared" si="2"/>
        <v>13680480.550000003</v>
      </c>
      <c r="X157" s="235">
        <v>3297</v>
      </c>
      <c r="Y157" s="235">
        <v>0</v>
      </c>
      <c r="Z157" s="237">
        <v>1.7000000000000001E-2</v>
      </c>
      <c r="AA157" s="235">
        <v>568</v>
      </c>
      <c r="AB157" s="235">
        <v>221</v>
      </c>
      <c r="AC157" s="235" t="s">
        <v>566</v>
      </c>
      <c r="AD157" s="235" t="s">
        <v>566</v>
      </c>
      <c r="AE157" s="235">
        <v>0</v>
      </c>
    </row>
    <row r="158" spans="1:31" x14ac:dyDescent="0.25">
      <c r="A158" s="111">
        <v>5661</v>
      </c>
      <c r="B158" s="229" t="s">
        <v>249</v>
      </c>
      <c r="C158" s="376">
        <v>371</v>
      </c>
      <c r="D158" s="379">
        <v>71.5</v>
      </c>
      <c r="E158" s="238">
        <v>1</v>
      </c>
      <c r="F158" s="234">
        <v>733741.66</v>
      </c>
      <c r="G158" s="235">
        <v>68292.84</v>
      </c>
      <c r="H158" s="235">
        <v>2713.8</v>
      </c>
      <c r="I158" s="235">
        <v>989.7</v>
      </c>
      <c r="J158" s="235">
        <v>0</v>
      </c>
      <c r="K158" s="235">
        <v>0</v>
      </c>
      <c r="L158" s="235">
        <v>-2916.7</v>
      </c>
      <c r="M158" s="235"/>
      <c r="N158" s="235">
        <v>344.79</v>
      </c>
      <c r="O158" s="235">
        <v>65574.399999999994</v>
      </c>
      <c r="P158" s="235">
        <v>9437.2900000000009</v>
      </c>
      <c r="Q158" s="235">
        <v>490</v>
      </c>
      <c r="R158" s="235">
        <v>-62.6</v>
      </c>
      <c r="S158" s="235">
        <v>31971.5</v>
      </c>
      <c r="T158" s="235">
        <v>0</v>
      </c>
      <c r="U158" s="235">
        <v>85152.1</v>
      </c>
      <c r="V158" s="235">
        <v>8774.75</v>
      </c>
      <c r="W158" s="236">
        <f t="shared" si="2"/>
        <v>1004503.5300000001</v>
      </c>
      <c r="X158" s="235">
        <v>341</v>
      </c>
      <c r="Y158" s="235">
        <v>0</v>
      </c>
      <c r="Z158" s="237">
        <v>0.20799999999999999</v>
      </c>
      <c r="AA158" s="235">
        <v>53</v>
      </c>
      <c r="AB158" s="235">
        <v>50</v>
      </c>
      <c r="AC158" s="235" t="s">
        <v>566</v>
      </c>
      <c r="AD158" s="235" t="s">
        <v>566</v>
      </c>
      <c r="AE158" s="235">
        <v>0</v>
      </c>
    </row>
    <row r="159" spans="1:31" x14ac:dyDescent="0.25">
      <c r="A159" s="111">
        <v>5663</v>
      </c>
      <c r="B159" s="229" t="s">
        <v>250</v>
      </c>
      <c r="C159" s="376">
        <v>267</v>
      </c>
      <c r="D159" s="379">
        <v>78.5</v>
      </c>
      <c r="E159" s="238">
        <v>1</v>
      </c>
      <c r="F159" s="234">
        <v>451506.6</v>
      </c>
      <c r="G159" s="235">
        <v>45456.49</v>
      </c>
      <c r="H159" s="235">
        <v>2864</v>
      </c>
      <c r="I159" s="235">
        <v>1985.05</v>
      </c>
      <c r="J159" s="235">
        <v>0</v>
      </c>
      <c r="K159" s="235">
        <v>0</v>
      </c>
      <c r="L159" s="235">
        <v>-6449.05</v>
      </c>
      <c r="M159" s="235"/>
      <c r="N159" s="235">
        <v>451.44</v>
      </c>
      <c r="O159" s="235">
        <v>41715.15</v>
      </c>
      <c r="P159" s="235">
        <v>6404.25</v>
      </c>
      <c r="Q159" s="235">
        <v>477.7</v>
      </c>
      <c r="R159" s="235">
        <v>-38.200000000000003</v>
      </c>
      <c r="S159" s="235">
        <v>24530</v>
      </c>
      <c r="T159" s="235">
        <v>0</v>
      </c>
      <c r="U159" s="235">
        <v>8759.7999999999993</v>
      </c>
      <c r="V159" s="235">
        <v>0</v>
      </c>
      <c r="W159" s="236">
        <f t="shared" si="2"/>
        <v>577663.23</v>
      </c>
      <c r="X159" s="235">
        <v>313</v>
      </c>
      <c r="Y159" s="235">
        <v>0</v>
      </c>
      <c r="Z159" s="237">
        <v>8.5000000000000006E-2</v>
      </c>
      <c r="AA159" s="235">
        <v>30</v>
      </c>
      <c r="AB159" s="235">
        <v>24</v>
      </c>
      <c r="AC159" s="235" t="s">
        <v>566</v>
      </c>
      <c r="AD159" s="235" t="s">
        <v>566</v>
      </c>
      <c r="AE159" s="235">
        <v>0</v>
      </c>
    </row>
    <row r="160" spans="1:31" x14ac:dyDescent="0.25">
      <c r="A160" s="111">
        <v>5665</v>
      </c>
      <c r="B160" s="229" t="s">
        <v>251</v>
      </c>
      <c r="C160" s="376">
        <v>232</v>
      </c>
      <c r="D160" s="379">
        <v>70</v>
      </c>
      <c r="E160" s="238">
        <v>1</v>
      </c>
      <c r="F160" s="234">
        <v>338054.51</v>
      </c>
      <c r="G160" s="235">
        <v>64132.33</v>
      </c>
      <c r="H160" s="235">
        <v>2283.4499999999998</v>
      </c>
      <c r="I160" s="235">
        <v>954.25</v>
      </c>
      <c r="J160" s="235">
        <v>0</v>
      </c>
      <c r="K160" s="235">
        <v>0</v>
      </c>
      <c r="L160" s="235">
        <v>-6965.42</v>
      </c>
      <c r="M160" s="235"/>
      <c r="N160" s="235">
        <v>301.43</v>
      </c>
      <c r="O160" s="235">
        <v>32930.800000000003</v>
      </c>
      <c r="P160" s="235">
        <v>8426.7800000000007</v>
      </c>
      <c r="Q160" s="235">
        <v>896.5</v>
      </c>
      <c r="R160" s="235">
        <v>0</v>
      </c>
      <c r="S160" s="235">
        <v>10179.75</v>
      </c>
      <c r="T160" s="235">
        <v>0</v>
      </c>
      <c r="U160" s="235">
        <v>16457.900000000001</v>
      </c>
      <c r="V160" s="235">
        <v>0</v>
      </c>
      <c r="W160" s="236">
        <f t="shared" si="2"/>
        <v>467652.28000000009</v>
      </c>
      <c r="X160" s="235">
        <v>513</v>
      </c>
      <c r="Y160" s="235">
        <v>18</v>
      </c>
      <c r="Z160" s="237">
        <v>8.1000000000000003E-2</v>
      </c>
      <c r="AA160" s="235">
        <v>20</v>
      </c>
      <c r="AB160" s="235">
        <v>20</v>
      </c>
      <c r="AC160" s="235" t="s">
        <v>566</v>
      </c>
      <c r="AD160" s="235" t="s">
        <v>566</v>
      </c>
      <c r="AE160" s="235">
        <v>0</v>
      </c>
    </row>
    <row r="161" spans="1:31" x14ac:dyDescent="0.25">
      <c r="A161" s="111">
        <v>5669</v>
      </c>
      <c r="B161" s="229" t="s">
        <v>252</v>
      </c>
      <c r="C161" s="376">
        <v>302</v>
      </c>
      <c r="D161" s="379">
        <v>73</v>
      </c>
      <c r="E161" s="238">
        <v>0.5</v>
      </c>
      <c r="F161" s="234">
        <v>513792.58</v>
      </c>
      <c r="G161" s="235">
        <v>135401.76999999999</v>
      </c>
      <c r="H161" s="235">
        <v>12210.9</v>
      </c>
      <c r="I161" s="235">
        <v>1330.8</v>
      </c>
      <c r="J161" s="235">
        <v>0</v>
      </c>
      <c r="K161" s="235">
        <v>0</v>
      </c>
      <c r="L161" s="235">
        <v>-3496.45</v>
      </c>
      <c r="M161" s="235"/>
      <c r="N161" s="235">
        <v>1260.71</v>
      </c>
      <c r="O161" s="235">
        <v>25427.3</v>
      </c>
      <c r="P161" s="235">
        <v>1092.27</v>
      </c>
      <c r="Q161" s="235">
        <v>73.650000000000006</v>
      </c>
      <c r="R161" s="235">
        <v>0</v>
      </c>
      <c r="S161" s="235">
        <v>4567.5</v>
      </c>
      <c r="T161" s="235">
        <v>0</v>
      </c>
      <c r="U161" s="235">
        <v>32140.45</v>
      </c>
      <c r="V161" s="235">
        <v>0</v>
      </c>
      <c r="W161" s="236">
        <f t="shared" si="2"/>
        <v>723801.4800000001</v>
      </c>
      <c r="X161" s="235">
        <v>494</v>
      </c>
      <c r="Y161" s="235">
        <v>0</v>
      </c>
      <c r="Z161" s="237">
        <v>0.10299999999999999</v>
      </c>
      <c r="AA161" s="235">
        <v>27</v>
      </c>
      <c r="AB161" s="235">
        <v>8</v>
      </c>
      <c r="AC161" s="235" t="s">
        <v>566</v>
      </c>
      <c r="AD161" s="235" t="s">
        <v>566</v>
      </c>
      <c r="AE161" s="235">
        <v>0</v>
      </c>
    </row>
    <row r="162" spans="1:31" x14ac:dyDescent="0.25">
      <c r="A162" s="111">
        <v>5671</v>
      </c>
      <c r="B162" s="229" t="s">
        <v>253</v>
      </c>
      <c r="C162" s="376">
        <v>242</v>
      </c>
      <c r="D162" s="379">
        <v>78</v>
      </c>
      <c r="E162" s="238">
        <v>1</v>
      </c>
      <c r="F162" s="234">
        <v>314457.8</v>
      </c>
      <c r="G162" s="235">
        <v>50819.91</v>
      </c>
      <c r="H162" s="235">
        <v>-4709</v>
      </c>
      <c r="I162" s="235">
        <v>4358.1000000000004</v>
      </c>
      <c r="J162" s="235">
        <v>0</v>
      </c>
      <c r="K162" s="235">
        <v>0</v>
      </c>
      <c r="L162" s="235">
        <v>-5140.59</v>
      </c>
      <c r="M162" s="235"/>
      <c r="N162" s="235">
        <v>-38.22</v>
      </c>
      <c r="O162" s="235">
        <v>38199.5</v>
      </c>
      <c r="P162" s="235">
        <v>8088.43</v>
      </c>
      <c r="Q162" s="235">
        <v>267</v>
      </c>
      <c r="R162" s="235">
        <v>-59.6</v>
      </c>
      <c r="S162" s="235">
        <v>14575</v>
      </c>
      <c r="T162" s="235">
        <v>56719.3</v>
      </c>
      <c r="U162" s="235">
        <v>17376.599999999999</v>
      </c>
      <c r="V162" s="235">
        <v>0</v>
      </c>
      <c r="W162" s="236">
        <f t="shared" si="2"/>
        <v>494914.22999999992</v>
      </c>
      <c r="X162" s="235">
        <v>325</v>
      </c>
      <c r="Y162" s="235">
        <v>2</v>
      </c>
      <c r="Z162" s="237">
        <v>5.8000000000000003E-2</v>
      </c>
      <c r="AA162" s="235">
        <v>33</v>
      </c>
      <c r="AB162" s="235">
        <v>33</v>
      </c>
      <c r="AC162" s="235" t="s">
        <v>566</v>
      </c>
      <c r="AD162" s="235" t="s">
        <v>566</v>
      </c>
      <c r="AE162" s="235">
        <v>0</v>
      </c>
    </row>
    <row r="163" spans="1:31" x14ac:dyDescent="0.25">
      <c r="A163" s="111">
        <v>5673</v>
      </c>
      <c r="B163" s="229" t="s">
        <v>254</v>
      </c>
      <c r="C163" s="376">
        <v>364</v>
      </c>
      <c r="D163" s="379">
        <v>73.5</v>
      </c>
      <c r="E163" s="238">
        <v>0.6</v>
      </c>
      <c r="F163" s="234">
        <v>566580</v>
      </c>
      <c r="G163" s="235">
        <v>80224.509999999995</v>
      </c>
      <c r="H163" s="235">
        <v>2430.9499999999998</v>
      </c>
      <c r="I163" s="235">
        <v>1099.2</v>
      </c>
      <c r="J163" s="235">
        <v>0</v>
      </c>
      <c r="K163" s="235">
        <v>404.55</v>
      </c>
      <c r="L163" s="235">
        <v>-5434.24</v>
      </c>
      <c r="M163" s="235"/>
      <c r="N163" s="235">
        <v>328.65</v>
      </c>
      <c r="O163" s="235">
        <v>30509.1</v>
      </c>
      <c r="P163" s="235">
        <v>6241.5</v>
      </c>
      <c r="Q163" s="235">
        <v>408</v>
      </c>
      <c r="R163" s="235">
        <v>0</v>
      </c>
      <c r="S163" s="235">
        <v>4914.2</v>
      </c>
      <c r="T163" s="235">
        <v>2.8</v>
      </c>
      <c r="U163" s="235">
        <v>7632.1</v>
      </c>
      <c r="V163" s="235">
        <v>14756.15</v>
      </c>
      <c r="W163" s="236">
        <f t="shared" si="2"/>
        <v>710097.47</v>
      </c>
      <c r="X163" s="235">
        <v>478</v>
      </c>
      <c r="Y163" s="235">
        <v>52</v>
      </c>
      <c r="Z163" s="237">
        <v>0.156</v>
      </c>
      <c r="AA163" s="235">
        <v>33</v>
      </c>
      <c r="AB163" s="235">
        <v>33</v>
      </c>
      <c r="AC163" s="235" t="s">
        <v>566</v>
      </c>
      <c r="AD163" s="235" t="s">
        <v>566</v>
      </c>
      <c r="AE163" s="235">
        <v>0</v>
      </c>
    </row>
    <row r="164" spans="1:31" x14ac:dyDescent="0.25">
      <c r="A164" s="111">
        <v>5674</v>
      </c>
      <c r="B164" s="229" t="s">
        <v>255</v>
      </c>
      <c r="C164" s="376">
        <v>152</v>
      </c>
      <c r="D164" s="379">
        <v>75</v>
      </c>
      <c r="E164" s="238">
        <v>0.7</v>
      </c>
      <c r="F164" s="234">
        <v>327208.71000000002</v>
      </c>
      <c r="G164" s="235">
        <v>41375.26</v>
      </c>
      <c r="H164" s="235">
        <v>3079.1</v>
      </c>
      <c r="I164" s="235">
        <v>1005</v>
      </c>
      <c r="J164" s="235">
        <v>0</v>
      </c>
      <c r="K164" s="235">
        <v>1761.67</v>
      </c>
      <c r="L164" s="235">
        <v>-4394.32</v>
      </c>
      <c r="M164" s="235"/>
      <c r="N164" s="235">
        <v>380.22</v>
      </c>
      <c r="O164" s="235">
        <v>16108.95</v>
      </c>
      <c r="P164" s="235">
        <v>161.11000000000001</v>
      </c>
      <c r="Q164" s="235">
        <v>64.099999999999994</v>
      </c>
      <c r="R164" s="235">
        <v>-402.65</v>
      </c>
      <c r="S164" s="235">
        <v>3888.5</v>
      </c>
      <c r="T164" s="235">
        <v>0</v>
      </c>
      <c r="U164" s="235">
        <v>11175.25</v>
      </c>
      <c r="V164" s="235">
        <v>0</v>
      </c>
      <c r="W164" s="236">
        <f t="shared" si="2"/>
        <v>401410.89999999991</v>
      </c>
      <c r="X164" s="235">
        <v>347</v>
      </c>
      <c r="Y164" s="235">
        <v>11</v>
      </c>
      <c r="Z164" s="237">
        <v>8.8999999999999996E-2</v>
      </c>
      <c r="AA164" s="235">
        <v>18</v>
      </c>
      <c r="AB164" s="235">
        <v>18</v>
      </c>
      <c r="AC164" s="235" t="s">
        <v>566</v>
      </c>
      <c r="AD164" s="235" t="s">
        <v>566</v>
      </c>
      <c r="AE164" s="235">
        <v>0</v>
      </c>
    </row>
    <row r="165" spans="1:31" x14ac:dyDescent="0.25">
      <c r="A165" s="111">
        <v>5675</v>
      </c>
      <c r="B165" s="229" t="s">
        <v>256</v>
      </c>
      <c r="C165" s="376">
        <v>4892</v>
      </c>
      <c r="D165" s="379">
        <v>69.5</v>
      </c>
      <c r="E165" s="238">
        <v>1.1000000000000001</v>
      </c>
      <c r="F165" s="234">
        <v>5031064.32</v>
      </c>
      <c r="G165" s="235">
        <v>603936.26</v>
      </c>
      <c r="H165" s="235">
        <v>2473.1499999999901</v>
      </c>
      <c r="I165" s="235">
        <v>76892.149999999994</v>
      </c>
      <c r="J165" s="235">
        <v>0</v>
      </c>
      <c r="K165" s="235">
        <v>36411.879999999997</v>
      </c>
      <c r="L165" s="235">
        <v>-199784.48</v>
      </c>
      <c r="M165" s="235"/>
      <c r="N165" s="235">
        <v>7388.8</v>
      </c>
      <c r="O165" s="235">
        <v>814451.35</v>
      </c>
      <c r="P165" s="235">
        <v>349029.01</v>
      </c>
      <c r="Q165" s="235">
        <v>-29513</v>
      </c>
      <c r="R165" s="235">
        <v>-2447.85</v>
      </c>
      <c r="S165" s="235">
        <v>786922.8</v>
      </c>
      <c r="T165" s="235">
        <v>75526.7</v>
      </c>
      <c r="U165" s="235">
        <v>205709.4</v>
      </c>
      <c r="V165" s="235">
        <v>14333.9</v>
      </c>
      <c r="W165" s="236">
        <f t="shared" si="2"/>
        <v>7772394.3900000006</v>
      </c>
      <c r="X165" s="235">
        <v>1907</v>
      </c>
      <c r="Y165" s="235">
        <v>149</v>
      </c>
      <c r="Z165" s="237">
        <v>0.14499999999999999</v>
      </c>
      <c r="AA165" s="235">
        <v>691</v>
      </c>
      <c r="AB165" s="235">
        <v>253</v>
      </c>
      <c r="AC165" s="235" t="s">
        <v>566</v>
      </c>
      <c r="AD165" s="235" t="s">
        <v>566</v>
      </c>
      <c r="AE165" s="235">
        <v>0</v>
      </c>
    </row>
    <row r="166" spans="1:31" x14ac:dyDescent="0.25">
      <c r="A166" s="111">
        <v>5678</v>
      </c>
      <c r="B166" s="229" t="s">
        <v>257</v>
      </c>
      <c r="C166" s="376">
        <v>6847</v>
      </c>
      <c r="D166" s="379">
        <v>72.5</v>
      </c>
      <c r="E166" s="238">
        <v>1</v>
      </c>
      <c r="F166" s="234">
        <v>7430420.7599999998</v>
      </c>
      <c r="G166" s="235">
        <v>774839.17</v>
      </c>
      <c r="H166" s="235">
        <v>643088.85</v>
      </c>
      <c r="I166" s="235">
        <v>22909.200000000001</v>
      </c>
      <c r="J166" s="235">
        <v>0</v>
      </c>
      <c r="K166" s="235">
        <v>46440.68</v>
      </c>
      <c r="L166" s="235">
        <v>-313081.40999999997</v>
      </c>
      <c r="M166" s="235"/>
      <c r="N166" s="235">
        <v>62217.61</v>
      </c>
      <c r="O166" s="235">
        <v>994719.8</v>
      </c>
      <c r="P166" s="235">
        <v>594586.59</v>
      </c>
      <c r="Q166" s="235">
        <v>91510.75</v>
      </c>
      <c r="R166" s="235">
        <v>-3571.99</v>
      </c>
      <c r="S166" s="235">
        <v>599288.69999999995</v>
      </c>
      <c r="T166" s="235">
        <v>312890.2</v>
      </c>
      <c r="U166" s="235">
        <v>357458.55</v>
      </c>
      <c r="V166" s="235">
        <v>238397.75</v>
      </c>
      <c r="W166" s="236">
        <f t="shared" si="2"/>
        <v>11852115.209999997</v>
      </c>
      <c r="X166" s="235">
        <v>1539</v>
      </c>
      <c r="Y166" s="235">
        <v>28</v>
      </c>
      <c r="Z166" s="237">
        <v>0.25600000000000001</v>
      </c>
      <c r="AA166" s="235">
        <v>1028</v>
      </c>
      <c r="AB166" s="235">
        <v>45</v>
      </c>
      <c r="AC166" s="235" t="s">
        <v>566</v>
      </c>
      <c r="AD166" s="235" t="s">
        <v>566</v>
      </c>
      <c r="AE166" s="235">
        <v>0</v>
      </c>
    </row>
    <row r="167" spans="1:31" x14ac:dyDescent="0.25">
      <c r="A167" s="111">
        <v>5680</v>
      </c>
      <c r="B167" s="229" t="s">
        <v>258</v>
      </c>
      <c r="C167" s="376">
        <v>342</v>
      </c>
      <c r="D167" s="379">
        <v>78</v>
      </c>
      <c r="E167" s="238">
        <v>1.5</v>
      </c>
      <c r="F167" s="234">
        <v>761265.86</v>
      </c>
      <c r="G167" s="235">
        <v>79227.649999999994</v>
      </c>
      <c r="H167" s="235">
        <v>-62609.55</v>
      </c>
      <c r="I167" s="235">
        <v>5121.55</v>
      </c>
      <c r="J167" s="235">
        <v>0</v>
      </c>
      <c r="K167" s="235">
        <v>8.61</v>
      </c>
      <c r="L167" s="235">
        <v>-4257.97</v>
      </c>
      <c r="M167" s="235"/>
      <c r="N167" s="235">
        <v>-5352.05</v>
      </c>
      <c r="O167" s="235">
        <v>94872.75</v>
      </c>
      <c r="P167" s="235">
        <v>-5213.5600000000004</v>
      </c>
      <c r="Q167" s="235">
        <v>4302.95</v>
      </c>
      <c r="R167" s="235">
        <v>0</v>
      </c>
      <c r="S167" s="235">
        <v>40458</v>
      </c>
      <c r="T167" s="235">
        <v>388.6</v>
      </c>
      <c r="U167" s="235">
        <v>43980.65</v>
      </c>
      <c r="V167" s="235">
        <v>0</v>
      </c>
      <c r="W167" s="236">
        <f t="shared" si="2"/>
        <v>952193.48999999987</v>
      </c>
      <c r="X167" s="235">
        <v>337</v>
      </c>
      <c r="Y167" s="235">
        <v>0</v>
      </c>
      <c r="Z167" s="237">
        <v>0.16900000000000001</v>
      </c>
      <c r="AA167" s="235">
        <v>55</v>
      </c>
      <c r="AB167" s="235">
        <v>53</v>
      </c>
      <c r="AC167" s="235" t="s">
        <v>566</v>
      </c>
      <c r="AD167" s="235" t="s">
        <v>566</v>
      </c>
      <c r="AE167" s="235">
        <v>0</v>
      </c>
    </row>
    <row r="168" spans="1:31" x14ac:dyDescent="0.25">
      <c r="A168" s="111">
        <v>5683</v>
      </c>
      <c r="B168" s="229" t="s">
        <v>259</v>
      </c>
      <c r="C168" s="376">
        <v>249</v>
      </c>
      <c r="D168" s="379">
        <v>72.5</v>
      </c>
      <c r="E168" s="238">
        <v>1</v>
      </c>
      <c r="F168" s="234">
        <v>347658.69</v>
      </c>
      <c r="G168" s="235">
        <v>22441.15</v>
      </c>
      <c r="H168" s="235">
        <v>3572.45</v>
      </c>
      <c r="I168" s="235">
        <v>1267.5999999999999</v>
      </c>
      <c r="J168" s="235">
        <v>0</v>
      </c>
      <c r="K168" s="235">
        <v>1457.59</v>
      </c>
      <c r="L168" s="235">
        <v>-15763.54</v>
      </c>
      <c r="M168" s="235"/>
      <c r="N168" s="235">
        <v>450.6</v>
      </c>
      <c r="O168" s="235">
        <v>34409.65</v>
      </c>
      <c r="P168" s="235">
        <v>1424.35</v>
      </c>
      <c r="Q168" s="235">
        <v>2171.85</v>
      </c>
      <c r="R168" s="235">
        <v>-273.64999999999998</v>
      </c>
      <c r="S168" s="235">
        <v>39047.85</v>
      </c>
      <c r="T168" s="235">
        <v>0</v>
      </c>
      <c r="U168" s="235">
        <v>24291.599999999999</v>
      </c>
      <c r="V168" s="235">
        <v>0</v>
      </c>
      <c r="W168" s="236">
        <f t="shared" si="2"/>
        <v>462156.18999999994</v>
      </c>
      <c r="X168" s="235">
        <v>181</v>
      </c>
      <c r="Y168" s="235">
        <v>249</v>
      </c>
      <c r="Z168" s="237">
        <v>5.0000000000000001E-3</v>
      </c>
      <c r="AA168" s="235">
        <v>35</v>
      </c>
      <c r="AB168" s="235">
        <v>35</v>
      </c>
      <c r="AC168" s="235" t="s">
        <v>566</v>
      </c>
      <c r="AD168" s="235" t="s">
        <v>566</v>
      </c>
      <c r="AE168" s="235">
        <v>0</v>
      </c>
    </row>
    <row r="169" spans="1:31" x14ac:dyDescent="0.25">
      <c r="A169" s="111">
        <v>5684</v>
      </c>
      <c r="B169" s="229" t="s">
        <v>260</v>
      </c>
      <c r="C169" s="376">
        <v>82</v>
      </c>
      <c r="D169" s="379">
        <v>65</v>
      </c>
      <c r="E169" s="238">
        <v>0.8</v>
      </c>
      <c r="F169" s="234">
        <v>25549.16</v>
      </c>
      <c r="G169" s="235">
        <v>23932.21</v>
      </c>
      <c r="H169" s="235">
        <v>1100.7</v>
      </c>
      <c r="I169" s="235">
        <v>776.1</v>
      </c>
      <c r="J169" s="235">
        <v>0</v>
      </c>
      <c r="K169" s="235">
        <v>0</v>
      </c>
      <c r="L169" s="235">
        <v>-36.479999999999997</v>
      </c>
      <c r="M169" s="235"/>
      <c r="N169" s="235">
        <v>174.73</v>
      </c>
      <c r="O169" s="235">
        <v>11178.1</v>
      </c>
      <c r="P169" s="235">
        <v>9532.1299999999992</v>
      </c>
      <c r="Q169" s="235">
        <v>0</v>
      </c>
      <c r="R169" s="235">
        <v>-69.150000000000006</v>
      </c>
      <c r="S169" s="235">
        <v>0</v>
      </c>
      <c r="T169" s="235">
        <v>0</v>
      </c>
      <c r="U169" s="235">
        <v>0</v>
      </c>
      <c r="V169" s="235">
        <v>0</v>
      </c>
      <c r="W169" s="236">
        <f t="shared" si="2"/>
        <v>72137.5</v>
      </c>
      <c r="X169" s="235">
        <v>106</v>
      </c>
      <c r="Y169" s="235">
        <v>0</v>
      </c>
      <c r="Z169" s="237">
        <v>6.3E-2</v>
      </c>
      <c r="AA169" s="235">
        <v>7</v>
      </c>
      <c r="AB169" s="235">
        <v>7</v>
      </c>
      <c r="AC169" s="235" t="s">
        <v>566</v>
      </c>
      <c r="AD169" s="235" t="s">
        <v>566</v>
      </c>
      <c r="AE169" s="235">
        <v>0</v>
      </c>
    </row>
    <row r="170" spans="1:31" x14ac:dyDescent="0.25">
      <c r="A170" s="111">
        <v>5688</v>
      </c>
      <c r="B170" s="229" t="s">
        <v>261</v>
      </c>
      <c r="C170" s="376">
        <v>144</v>
      </c>
      <c r="D170" s="379">
        <v>65</v>
      </c>
      <c r="E170" s="238">
        <v>1</v>
      </c>
      <c r="F170" s="234">
        <v>215250.6</v>
      </c>
      <c r="G170" s="235">
        <v>48631.57</v>
      </c>
      <c r="H170" s="235">
        <v>2952.05</v>
      </c>
      <c r="I170" s="235">
        <v>1164.75</v>
      </c>
      <c r="J170" s="235">
        <v>0</v>
      </c>
      <c r="K170" s="235">
        <v>332.92</v>
      </c>
      <c r="L170" s="235">
        <v>-9054.9</v>
      </c>
      <c r="M170" s="235"/>
      <c r="N170" s="235">
        <v>383.27</v>
      </c>
      <c r="O170" s="235">
        <v>26322</v>
      </c>
      <c r="P170" s="235">
        <v>4200.21</v>
      </c>
      <c r="Q170" s="235">
        <v>814.5</v>
      </c>
      <c r="R170" s="235">
        <v>-35.4</v>
      </c>
      <c r="S170" s="235">
        <v>37235</v>
      </c>
      <c r="T170" s="235">
        <v>8599.7999999999993</v>
      </c>
      <c r="U170" s="235">
        <v>42945.2</v>
      </c>
      <c r="V170" s="235">
        <v>5276.3</v>
      </c>
      <c r="W170" s="236">
        <f t="shared" si="2"/>
        <v>385017.86999999994</v>
      </c>
      <c r="X170" s="235">
        <v>251</v>
      </c>
      <c r="Y170" s="235">
        <v>0</v>
      </c>
      <c r="Z170" s="237">
        <v>0.21199999999999999</v>
      </c>
      <c r="AA170" s="235">
        <v>18</v>
      </c>
      <c r="AB170" s="235">
        <v>18</v>
      </c>
      <c r="AC170" s="235" t="s">
        <v>566</v>
      </c>
      <c r="AD170" s="235" t="s">
        <v>566</v>
      </c>
      <c r="AE170" s="235">
        <v>0</v>
      </c>
    </row>
    <row r="171" spans="1:31" x14ac:dyDescent="0.25">
      <c r="A171" s="111">
        <v>5690</v>
      </c>
      <c r="B171" s="229" t="s">
        <v>262</v>
      </c>
      <c r="C171" s="376">
        <v>129</v>
      </c>
      <c r="D171" s="379">
        <v>68</v>
      </c>
      <c r="E171" s="238">
        <v>1</v>
      </c>
      <c r="F171" s="234">
        <v>250454.99</v>
      </c>
      <c r="G171" s="235">
        <v>32901.49</v>
      </c>
      <c r="H171" s="235">
        <v>2418.0500000000002</v>
      </c>
      <c r="I171" s="235">
        <v>1323.35</v>
      </c>
      <c r="J171" s="235">
        <v>0</v>
      </c>
      <c r="K171" s="235">
        <v>0</v>
      </c>
      <c r="L171" s="235">
        <v>-41.17</v>
      </c>
      <c r="M171" s="235"/>
      <c r="N171" s="235">
        <v>348.32</v>
      </c>
      <c r="O171" s="235">
        <v>25732.6</v>
      </c>
      <c r="P171" s="235">
        <v>-6696.62</v>
      </c>
      <c r="Q171" s="235">
        <v>184.3</v>
      </c>
      <c r="R171" s="235">
        <v>0</v>
      </c>
      <c r="S171" s="235">
        <v>18151.2</v>
      </c>
      <c r="T171" s="235">
        <v>6122.6</v>
      </c>
      <c r="U171" s="235">
        <v>22229.9</v>
      </c>
      <c r="V171" s="235">
        <v>0</v>
      </c>
      <c r="W171" s="236">
        <f t="shared" si="2"/>
        <v>353129.00999999995</v>
      </c>
      <c r="X171" s="235">
        <v>419</v>
      </c>
      <c r="Y171" s="235">
        <v>124</v>
      </c>
      <c r="Z171" s="237">
        <v>4.2000000000000003E-2</v>
      </c>
      <c r="AA171" s="235">
        <v>14</v>
      </c>
      <c r="AB171" s="235">
        <v>14</v>
      </c>
      <c r="AC171" s="235" t="s">
        <v>566</v>
      </c>
      <c r="AD171" s="235" t="s">
        <v>566</v>
      </c>
      <c r="AE171" s="235">
        <v>0</v>
      </c>
    </row>
    <row r="172" spans="1:31" x14ac:dyDescent="0.25">
      <c r="A172" s="111">
        <v>5692</v>
      </c>
      <c r="B172" s="229" t="s">
        <v>263</v>
      </c>
      <c r="C172" s="376">
        <v>634</v>
      </c>
      <c r="D172" s="379">
        <v>75</v>
      </c>
      <c r="E172" s="238">
        <v>1</v>
      </c>
      <c r="F172" s="234">
        <v>1022748.44</v>
      </c>
      <c r="G172" s="235">
        <v>107506.59</v>
      </c>
      <c r="H172" s="235">
        <v>22190.1</v>
      </c>
      <c r="I172" s="235">
        <v>2941.65</v>
      </c>
      <c r="J172" s="235">
        <v>0</v>
      </c>
      <c r="K172" s="235">
        <v>1419.34</v>
      </c>
      <c r="L172" s="235">
        <v>-9089.24</v>
      </c>
      <c r="M172" s="235"/>
      <c r="N172" s="235">
        <v>2339.73</v>
      </c>
      <c r="O172" s="235">
        <v>119624</v>
      </c>
      <c r="P172" s="235">
        <v>16279.97</v>
      </c>
      <c r="Q172" s="235">
        <v>4766.5</v>
      </c>
      <c r="R172" s="235">
        <v>-814.25</v>
      </c>
      <c r="S172" s="235">
        <v>80184.5</v>
      </c>
      <c r="T172" s="235">
        <v>0</v>
      </c>
      <c r="U172" s="235">
        <v>103457.65</v>
      </c>
      <c r="V172" s="235">
        <v>36300.75</v>
      </c>
      <c r="W172" s="236">
        <f t="shared" si="2"/>
        <v>1509855.73</v>
      </c>
      <c r="X172" s="235">
        <v>323</v>
      </c>
      <c r="Y172" s="235">
        <v>120</v>
      </c>
      <c r="Z172" s="237">
        <v>0.14699999999999999</v>
      </c>
      <c r="AA172" s="235">
        <v>96</v>
      </c>
      <c r="AB172" s="235">
        <v>86</v>
      </c>
      <c r="AC172" s="235" t="s">
        <v>566</v>
      </c>
      <c r="AD172" s="235" t="s">
        <v>566</v>
      </c>
      <c r="AE172" s="235">
        <v>0</v>
      </c>
    </row>
    <row r="173" spans="1:31" x14ac:dyDescent="0.25">
      <c r="A173" s="111">
        <v>5693</v>
      </c>
      <c r="B173" s="229" t="s">
        <v>264</v>
      </c>
      <c r="C173" s="376">
        <v>2856</v>
      </c>
      <c r="D173" s="379">
        <v>70</v>
      </c>
      <c r="E173" s="238">
        <v>1</v>
      </c>
      <c r="F173" s="234">
        <v>4186201.58</v>
      </c>
      <c r="G173" s="235">
        <v>634476.19999999995</v>
      </c>
      <c r="H173" s="235">
        <v>173604.85</v>
      </c>
      <c r="I173" s="235">
        <v>4757.3999999999996</v>
      </c>
      <c r="J173" s="235">
        <v>0</v>
      </c>
      <c r="K173" s="235">
        <v>13967.84</v>
      </c>
      <c r="L173" s="235">
        <v>-108771.16</v>
      </c>
      <c r="M173" s="235"/>
      <c r="N173" s="235">
        <v>16605.28</v>
      </c>
      <c r="O173" s="235">
        <v>486053.65</v>
      </c>
      <c r="P173" s="235">
        <v>69908.22</v>
      </c>
      <c r="Q173" s="235">
        <v>13661.1</v>
      </c>
      <c r="R173" s="235">
        <v>-1343.5</v>
      </c>
      <c r="S173" s="235">
        <v>173184.7</v>
      </c>
      <c r="T173" s="235">
        <v>1320</v>
      </c>
      <c r="U173" s="235">
        <v>133530.54999999999</v>
      </c>
      <c r="V173" s="235">
        <v>60255.85</v>
      </c>
      <c r="W173" s="236">
        <f t="shared" si="2"/>
        <v>5857412.5599999996</v>
      </c>
      <c r="X173" s="235">
        <v>3342</v>
      </c>
      <c r="Y173" s="235">
        <v>2594</v>
      </c>
      <c r="Z173" s="237">
        <v>6.7000000000000004E-2</v>
      </c>
      <c r="AA173" s="235">
        <v>387</v>
      </c>
      <c r="AB173" s="235">
        <v>261</v>
      </c>
      <c r="AC173" s="235" t="s">
        <v>566</v>
      </c>
      <c r="AD173" s="235" t="s">
        <v>566</v>
      </c>
      <c r="AE173" s="235">
        <v>0</v>
      </c>
    </row>
    <row r="174" spans="1:31" x14ac:dyDescent="0.25">
      <c r="A174" s="111">
        <v>5701</v>
      </c>
      <c r="B174" s="229" t="s">
        <v>265</v>
      </c>
      <c r="C174" s="376">
        <v>274</v>
      </c>
      <c r="D174" s="379">
        <v>68</v>
      </c>
      <c r="E174" s="238">
        <v>1</v>
      </c>
      <c r="F174" s="234">
        <v>698092.47</v>
      </c>
      <c r="G174" s="235">
        <v>175046.57</v>
      </c>
      <c r="H174" s="235">
        <v>20548.599999999999</v>
      </c>
      <c r="I174" s="235">
        <v>2105.3000000000002</v>
      </c>
      <c r="J174" s="235">
        <v>265291.5</v>
      </c>
      <c r="K174" s="235">
        <v>0</v>
      </c>
      <c r="L174" s="235">
        <v>2638.75</v>
      </c>
      <c r="M174" s="235"/>
      <c r="N174" s="235">
        <v>2109.0500000000002</v>
      </c>
      <c r="O174" s="235">
        <v>85176.8</v>
      </c>
      <c r="P174" s="235">
        <v>32786.870000000003</v>
      </c>
      <c r="Q174" s="235">
        <v>3410.5</v>
      </c>
      <c r="R174" s="235">
        <v>-2408.5</v>
      </c>
      <c r="S174" s="235">
        <v>158143.15</v>
      </c>
      <c r="T174" s="235">
        <v>8125</v>
      </c>
      <c r="U174" s="235">
        <v>165294.9</v>
      </c>
      <c r="V174" s="235">
        <v>0</v>
      </c>
      <c r="W174" s="236">
        <f t="shared" si="2"/>
        <v>1616360.96</v>
      </c>
      <c r="X174" s="235">
        <v>208</v>
      </c>
      <c r="Y174" s="235">
        <v>0</v>
      </c>
      <c r="Z174" s="237">
        <v>2.9000000000000001E-2</v>
      </c>
      <c r="AA174" s="235">
        <v>14</v>
      </c>
      <c r="AB174" s="235">
        <v>5</v>
      </c>
      <c r="AC174" s="235" t="s">
        <v>566</v>
      </c>
      <c r="AD174" s="235" t="s">
        <v>566</v>
      </c>
      <c r="AE174" s="235">
        <v>0</v>
      </c>
    </row>
    <row r="175" spans="1:31" x14ac:dyDescent="0.25">
      <c r="A175" s="111">
        <v>5702</v>
      </c>
      <c r="B175" s="229" t="s">
        <v>266</v>
      </c>
      <c r="C175" s="376">
        <v>2999</v>
      </c>
      <c r="D175" s="379">
        <v>64</v>
      </c>
      <c r="E175" s="238">
        <v>1.5</v>
      </c>
      <c r="F175" s="234">
        <v>9054123.9199999999</v>
      </c>
      <c r="G175" s="235">
        <v>1796395.29</v>
      </c>
      <c r="H175" s="235">
        <v>88772.95</v>
      </c>
      <c r="I175" s="235">
        <v>19319.900000000001</v>
      </c>
      <c r="J175" s="235">
        <v>301171.25</v>
      </c>
      <c r="K175" s="235">
        <v>20763.13</v>
      </c>
      <c r="L175" s="235">
        <v>-128177.78</v>
      </c>
      <c r="M175" s="235"/>
      <c r="N175" s="235">
        <v>10063.290000000001</v>
      </c>
      <c r="O175" s="235">
        <v>1388271.4</v>
      </c>
      <c r="P175" s="235">
        <v>58153.67</v>
      </c>
      <c r="Q175" s="235">
        <v>20086.55</v>
      </c>
      <c r="R175" s="235">
        <v>-37428.81</v>
      </c>
      <c r="S175" s="235">
        <v>820741.9</v>
      </c>
      <c r="T175" s="235">
        <v>1650301.2</v>
      </c>
      <c r="U175" s="235">
        <v>522882.1</v>
      </c>
      <c r="V175" s="235">
        <v>73450.75</v>
      </c>
      <c r="W175" s="236">
        <f t="shared" si="2"/>
        <v>15658890.710000001</v>
      </c>
      <c r="X175" s="235">
        <v>5165</v>
      </c>
      <c r="Y175" s="235">
        <v>2428</v>
      </c>
      <c r="Z175" s="237">
        <v>0.251</v>
      </c>
      <c r="AA175" s="235">
        <v>389</v>
      </c>
      <c r="AB175" s="235">
        <v>193</v>
      </c>
      <c r="AC175" s="235" t="s">
        <v>566</v>
      </c>
      <c r="AD175" s="235" t="s">
        <v>566</v>
      </c>
      <c r="AE175" s="235">
        <v>0</v>
      </c>
    </row>
    <row r="176" spans="1:31" x14ac:dyDescent="0.25">
      <c r="A176" s="111">
        <v>5703</v>
      </c>
      <c r="B176" s="229" t="s">
        <v>412</v>
      </c>
      <c r="C176" s="376">
        <v>1468</v>
      </c>
      <c r="D176" s="379">
        <v>72.5</v>
      </c>
      <c r="E176" s="238">
        <v>1.4</v>
      </c>
      <c r="F176" s="234">
        <v>4019188.35</v>
      </c>
      <c r="G176" s="235">
        <v>585534.96</v>
      </c>
      <c r="H176" s="235">
        <v>29766.15</v>
      </c>
      <c r="I176" s="235">
        <v>3025.7</v>
      </c>
      <c r="J176" s="235">
        <v>0</v>
      </c>
      <c r="K176" s="235">
        <v>948.47</v>
      </c>
      <c r="L176" s="235">
        <v>-64507.08</v>
      </c>
      <c r="M176" s="235"/>
      <c r="N176" s="235">
        <v>3052.88</v>
      </c>
      <c r="O176" s="235">
        <v>509412.1</v>
      </c>
      <c r="P176" s="235">
        <v>38711.07</v>
      </c>
      <c r="Q176" s="235">
        <v>4642.1499999999996</v>
      </c>
      <c r="R176" s="235">
        <v>-3708.51</v>
      </c>
      <c r="S176" s="235">
        <v>246419.20000000001</v>
      </c>
      <c r="T176" s="235">
        <v>0</v>
      </c>
      <c r="U176" s="235">
        <v>268882.95</v>
      </c>
      <c r="V176" s="235">
        <v>14044.05</v>
      </c>
      <c r="W176" s="236">
        <f t="shared" si="2"/>
        <v>5655412.4400000013</v>
      </c>
      <c r="X176" s="235">
        <v>2078</v>
      </c>
      <c r="Y176" s="235">
        <v>1166</v>
      </c>
      <c r="Z176" s="237">
        <v>0.20699999999999999</v>
      </c>
      <c r="AA176" s="235">
        <v>156</v>
      </c>
      <c r="AB176" s="235">
        <v>55</v>
      </c>
      <c r="AC176" s="235" t="s">
        <v>566</v>
      </c>
      <c r="AD176" s="235" t="s">
        <v>566</v>
      </c>
      <c r="AE176" s="235">
        <v>0</v>
      </c>
    </row>
    <row r="177" spans="1:31" x14ac:dyDescent="0.25">
      <c r="A177" s="111">
        <v>5704</v>
      </c>
      <c r="B177" s="229" t="s">
        <v>267</v>
      </c>
      <c r="C177" s="376">
        <v>2047</v>
      </c>
      <c r="D177" s="379">
        <v>62.5</v>
      </c>
      <c r="E177" s="238">
        <v>1.5</v>
      </c>
      <c r="F177" s="234">
        <v>7459796.4400000004</v>
      </c>
      <c r="G177" s="235">
        <v>1712334.63</v>
      </c>
      <c r="H177" s="235">
        <v>38139.449999999997</v>
      </c>
      <c r="I177" s="235">
        <v>10562.4</v>
      </c>
      <c r="J177" s="235">
        <v>178674.45</v>
      </c>
      <c r="K177" s="235">
        <v>16982.03</v>
      </c>
      <c r="L177" s="235">
        <v>-50985.64</v>
      </c>
      <c r="M177" s="235"/>
      <c r="N177" s="235">
        <v>4534.07</v>
      </c>
      <c r="O177" s="235">
        <v>891328.55</v>
      </c>
      <c r="P177" s="235">
        <v>111060.82</v>
      </c>
      <c r="Q177" s="235">
        <v>25679.95</v>
      </c>
      <c r="R177" s="235">
        <v>-18301.02</v>
      </c>
      <c r="S177" s="235">
        <v>383659.3</v>
      </c>
      <c r="T177" s="235">
        <v>179071</v>
      </c>
      <c r="U177" s="235">
        <v>310026.09999999998</v>
      </c>
      <c r="V177" s="235">
        <v>46546.8</v>
      </c>
      <c r="W177" s="236">
        <f t="shared" si="2"/>
        <v>11299109.33</v>
      </c>
      <c r="X177" s="235">
        <v>478</v>
      </c>
      <c r="Y177" s="235">
        <v>0</v>
      </c>
      <c r="Z177" s="237">
        <v>0.126</v>
      </c>
      <c r="AA177" s="235">
        <v>181</v>
      </c>
      <c r="AB177" s="235">
        <v>45</v>
      </c>
      <c r="AC177" s="235" t="s">
        <v>566</v>
      </c>
      <c r="AD177" s="235" t="s">
        <v>566</v>
      </c>
      <c r="AE177" s="235">
        <v>0</v>
      </c>
    </row>
    <row r="178" spans="1:31" x14ac:dyDescent="0.25">
      <c r="A178" s="111">
        <v>5705</v>
      </c>
      <c r="B178" s="229" t="s">
        <v>268</v>
      </c>
      <c r="C178" s="376">
        <v>961</v>
      </c>
      <c r="D178" s="379">
        <v>70</v>
      </c>
      <c r="E178" s="238">
        <v>1</v>
      </c>
      <c r="F178" s="234">
        <v>3316905.9</v>
      </c>
      <c r="G178" s="235">
        <v>504258.26</v>
      </c>
      <c r="H178" s="235">
        <v>74184.100000000006</v>
      </c>
      <c r="I178" s="235">
        <v>2625.9</v>
      </c>
      <c r="J178" s="235">
        <v>0</v>
      </c>
      <c r="K178" s="235">
        <v>455.49</v>
      </c>
      <c r="L178" s="235">
        <v>-1329.12</v>
      </c>
      <c r="M178" s="235"/>
      <c r="N178" s="235">
        <v>7150.9</v>
      </c>
      <c r="O178" s="235">
        <v>272103.40000000002</v>
      </c>
      <c r="P178" s="235">
        <v>6101.23</v>
      </c>
      <c r="Q178" s="235">
        <v>9444.4500000000007</v>
      </c>
      <c r="R178" s="235">
        <v>-15387.54</v>
      </c>
      <c r="S178" s="235">
        <v>364798.5</v>
      </c>
      <c r="T178" s="235">
        <v>0</v>
      </c>
      <c r="U178" s="235">
        <v>140194.4</v>
      </c>
      <c r="V178" s="235">
        <v>64225.2</v>
      </c>
      <c r="W178" s="236">
        <f t="shared" si="2"/>
        <v>4745731.0700000012</v>
      </c>
      <c r="X178" s="235">
        <v>242</v>
      </c>
      <c r="Y178" s="235">
        <v>0</v>
      </c>
      <c r="Z178" s="237">
        <v>8.9999999999999993E-3</v>
      </c>
      <c r="AA178" s="235">
        <v>104</v>
      </c>
      <c r="AB178" s="235">
        <v>57</v>
      </c>
      <c r="AC178" s="235" t="s">
        <v>566</v>
      </c>
      <c r="AD178" s="235" t="s">
        <v>566</v>
      </c>
      <c r="AE178" s="235">
        <v>0</v>
      </c>
    </row>
    <row r="179" spans="1:31" x14ac:dyDescent="0.25">
      <c r="A179" s="111">
        <v>5706</v>
      </c>
      <c r="B179" s="229" t="s">
        <v>269</v>
      </c>
      <c r="C179" s="376">
        <v>1168</v>
      </c>
      <c r="D179" s="379">
        <v>57</v>
      </c>
      <c r="E179" s="238">
        <v>1.5</v>
      </c>
      <c r="F179" s="234">
        <v>3518609.6</v>
      </c>
      <c r="G179" s="235">
        <v>702111.41</v>
      </c>
      <c r="H179" s="235">
        <v>41901.1</v>
      </c>
      <c r="I179" s="235">
        <v>3022.55</v>
      </c>
      <c r="J179" s="235">
        <v>51492.5</v>
      </c>
      <c r="K179" s="235">
        <v>104.14</v>
      </c>
      <c r="L179" s="235">
        <v>-15825.99</v>
      </c>
      <c r="M179" s="235"/>
      <c r="N179" s="235">
        <v>4182.33</v>
      </c>
      <c r="O179" s="235">
        <v>458329.95</v>
      </c>
      <c r="P179" s="235">
        <v>4707.58</v>
      </c>
      <c r="Q179" s="235">
        <v>11042.75</v>
      </c>
      <c r="R179" s="235">
        <v>-46287.5</v>
      </c>
      <c r="S179" s="235">
        <v>97086.65</v>
      </c>
      <c r="T179" s="235">
        <v>0</v>
      </c>
      <c r="U179" s="235">
        <v>81405.75</v>
      </c>
      <c r="V179" s="235">
        <v>14956.6</v>
      </c>
      <c r="W179" s="236">
        <f t="shared" si="2"/>
        <v>4926839.419999999</v>
      </c>
      <c r="X179" s="235">
        <v>196</v>
      </c>
      <c r="Y179" s="235">
        <v>0</v>
      </c>
      <c r="Z179" s="237">
        <v>0.01</v>
      </c>
      <c r="AA179" s="235">
        <v>132</v>
      </c>
      <c r="AB179" s="235">
        <v>61</v>
      </c>
      <c r="AC179" s="235" t="s">
        <v>566</v>
      </c>
      <c r="AD179" s="235" t="s">
        <v>566</v>
      </c>
      <c r="AE179" s="235">
        <v>0</v>
      </c>
    </row>
    <row r="180" spans="1:31" x14ac:dyDescent="0.25">
      <c r="A180" s="111">
        <v>5707</v>
      </c>
      <c r="B180" s="229" t="s">
        <v>270</v>
      </c>
      <c r="C180" s="376">
        <v>1423</v>
      </c>
      <c r="D180" s="379">
        <v>58</v>
      </c>
      <c r="E180" s="238">
        <v>1.5</v>
      </c>
      <c r="F180" s="234">
        <v>3507789.35</v>
      </c>
      <c r="G180" s="235">
        <v>626654.16</v>
      </c>
      <c r="H180" s="235">
        <v>160597</v>
      </c>
      <c r="I180" s="235">
        <v>42223.6</v>
      </c>
      <c r="J180" s="235">
        <v>34636.15</v>
      </c>
      <c r="K180" s="235">
        <v>50147.81</v>
      </c>
      <c r="L180" s="235">
        <v>-68646.61</v>
      </c>
      <c r="M180" s="235"/>
      <c r="N180" s="235">
        <v>18952.14</v>
      </c>
      <c r="O180" s="235">
        <v>790817.6</v>
      </c>
      <c r="P180" s="235">
        <v>65404.2</v>
      </c>
      <c r="Q180" s="235">
        <v>57098.45</v>
      </c>
      <c r="R180" s="235">
        <v>-2532.9899999999998</v>
      </c>
      <c r="S180" s="235">
        <v>474721.45</v>
      </c>
      <c r="T180" s="235">
        <v>0</v>
      </c>
      <c r="U180" s="235">
        <v>249822.1</v>
      </c>
      <c r="V180" s="235">
        <v>769499</v>
      </c>
      <c r="W180" s="236">
        <f t="shared" si="2"/>
        <v>6777183.4099999983</v>
      </c>
      <c r="X180" s="235">
        <v>274</v>
      </c>
      <c r="Y180" s="235">
        <v>0</v>
      </c>
      <c r="Z180" s="237">
        <v>0.01</v>
      </c>
      <c r="AA180" s="235">
        <v>172</v>
      </c>
      <c r="AB180" s="235">
        <v>86</v>
      </c>
      <c r="AC180" s="235" t="s">
        <v>566</v>
      </c>
      <c r="AD180" s="235" t="s">
        <v>566</v>
      </c>
      <c r="AE180" s="235">
        <v>0</v>
      </c>
    </row>
    <row r="181" spans="1:31" x14ac:dyDescent="0.25">
      <c r="A181" s="111">
        <v>5708</v>
      </c>
      <c r="B181" s="229" t="s">
        <v>271</v>
      </c>
      <c r="C181" s="376">
        <v>983</v>
      </c>
      <c r="D181" s="379">
        <v>66</v>
      </c>
      <c r="E181" s="238">
        <v>1.5</v>
      </c>
      <c r="F181" s="234">
        <v>3455574.51</v>
      </c>
      <c r="G181" s="235">
        <v>792859.76</v>
      </c>
      <c r="H181" s="235">
        <v>46925.5</v>
      </c>
      <c r="I181" s="235">
        <v>1072.9000000000001</v>
      </c>
      <c r="J181" s="235">
        <v>0</v>
      </c>
      <c r="K181" s="235">
        <v>0</v>
      </c>
      <c r="L181" s="235">
        <v>-4669.21</v>
      </c>
      <c r="M181" s="235"/>
      <c r="N181" s="235">
        <v>4468.58</v>
      </c>
      <c r="O181" s="235">
        <v>462982.05</v>
      </c>
      <c r="P181" s="235">
        <v>2384.79</v>
      </c>
      <c r="Q181" s="235">
        <v>13715.8</v>
      </c>
      <c r="R181" s="235">
        <v>-10384.57</v>
      </c>
      <c r="S181" s="235">
        <v>194071.4</v>
      </c>
      <c r="T181" s="235">
        <v>0</v>
      </c>
      <c r="U181" s="235">
        <v>85556.1</v>
      </c>
      <c r="V181" s="235">
        <v>19698.400000000001</v>
      </c>
      <c r="W181" s="236">
        <f t="shared" si="2"/>
        <v>5064256.01</v>
      </c>
      <c r="X181" s="235">
        <v>212</v>
      </c>
      <c r="Y181" s="235">
        <v>0</v>
      </c>
      <c r="Z181" s="237">
        <v>5.0000000000000001E-3</v>
      </c>
      <c r="AA181" s="235">
        <v>105</v>
      </c>
      <c r="AB181" s="235">
        <v>105</v>
      </c>
      <c r="AC181" s="235" t="s">
        <v>566</v>
      </c>
      <c r="AD181" s="235" t="s">
        <v>566</v>
      </c>
      <c r="AE181" s="235">
        <v>0</v>
      </c>
    </row>
    <row r="182" spans="1:31" x14ac:dyDescent="0.25">
      <c r="A182" s="111">
        <v>5709</v>
      </c>
      <c r="B182" s="229" t="s">
        <v>272</v>
      </c>
      <c r="C182" s="376">
        <v>1272</v>
      </c>
      <c r="D182" s="379">
        <v>59</v>
      </c>
      <c r="E182" s="238">
        <v>1</v>
      </c>
      <c r="F182" s="234">
        <v>5077754.0599999996</v>
      </c>
      <c r="G182" s="235">
        <v>1022136.39</v>
      </c>
      <c r="H182" s="235">
        <v>12126.25</v>
      </c>
      <c r="I182" s="235">
        <v>13991.45</v>
      </c>
      <c r="J182" s="235">
        <v>618015.19999999995</v>
      </c>
      <c r="K182" s="235">
        <v>5562.75</v>
      </c>
      <c r="L182" s="235">
        <v>-11909.49</v>
      </c>
      <c r="M182" s="235"/>
      <c r="N182" s="235">
        <v>2431.52</v>
      </c>
      <c r="O182" s="235">
        <v>428184.5</v>
      </c>
      <c r="P182" s="235">
        <v>70952.41</v>
      </c>
      <c r="Q182" s="235">
        <v>12092.85</v>
      </c>
      <c r="R182" s="235">
        <v>-8150.1</v>
      </c>
      <c r="S182" s="235">
        <v>234669.85</v>
      </c>
      <c r="T182" s="235">
        <v>1540</v>
      </c>
      <c r="U182" s="235">
        <v>78971.5</v>
      </c>
      <c r="V182" s="235">
        <v>63767.95</v>
      </c>
      <c r="W182" s="236">
        <f t="shared" si="2"/>
        <v>7622137.0899999989</v>
      </c>
      <c r="X182" s="235">
        <v>1043</v>
      </c>
      <c r="Y182" s="235">
        <v>0</v>
      </c>
      <c r="Z182" s="237">
        <v>0.22800000000000001</v>
      </c>
      <c r="AA182" s="235">
        <v>145</v>
      </c>
      <c r="AB182" s="235">
        <v>61</v>
      </c>
      <c r="AC182" s="235" t="s">
        <v>566</v>
      </c>
      <c r="AD182" s="235" t="s">
        <v>566</v>
      </c>
      <c r="AE182" s="235">
        <v>0</v>
      </c>
    </row>
    <row r="183" spans="1:31" x14ac:dyDescent="0.25">
      <c r="A183" s="111">
        <v>5710</v>
      </c>
      <c r="B183" s="229" t="s">
        <v>273</v>
      </c>
      <c r="C183" s="376">
        <v>510</v>
      </c>
      <c r="D183" s="379">
        <v>49</v>
      </c>
      <c r="E183" s="238">
        <v>1</v>
      </c>
      <c r="F183" s="234">
        <v>1060830.3799999999</v>
      </c>
      <c r="G183" s="235">
        <v>217330.25</v>
      </c>
      <c r="H183" s="235">
        <v>-9663.9</v>
      </c>
      <c r="I183" s="235">
        <v>1094.9000000000001</v>
      </c>
      <c r="J183" s="235">
        <v>0</v>
      </c>
      <c r="K183" s="235">
        <v>35.630000000000003</v>
      </c>
      <c r="L183" s="235">
        <v>-244.42</v>
      </c>
      <c r="M183" s="235"/>
      <c r="N183" s="235">
        <v>-797.76</v>
      </c>
      <c r="O183" s="235">
        <v>137509.29999999999</v>
      </c>
      <c r="P183" s="235">
        <v>7234.83</v>
      </c>
      <c r="Q183" s="235">
        <v>6690.85</v>
      </c>
      <c r="R183" s="235">
        <v>-1626.24</v>
      </c>
      <c r="S183" s="235">
        <v>88160</v>
      </c>
      <c r="T183" s="235">
        <v>0</v>
      </c>
      <c r="U183" s="235">
        <v>56194.25</v>
      </c>
      <c r="V183" s="235">
        <v>96996.5</v>
      </c>
      <c r="W183" s="236">
        <f t="shared" si="2"/>
        <v>1659744.57</v>
      </c>
      <c r="X183" s="235">
        <v>294</v>
      </c>
      <c r="Y183" s="235">
        <v>0</v>
      </c>
      <c r="Z183" s="237">
        <v>2.9000000000000001E-2</v>
      </c>
      <c r="AA183" s="235">
        <v>59</v>
      </c>
      <c r="AB183" s="235">
        <v>20</v>
      </c>
      <c r="AC183" s="235" t="s">
        <v>566</v>
      </c>
      <c r="AD183" s="235" t="s">
        <v>566</v>
      </c>
      <c r="AE183" s="235">
        <v>0</v>
      </c>
    </row>
    <row r="184" spans="1:31" x14ac:dyDescent="0.25">
      <c r="A184" s="111">
        <v>5711</v>
      </c>
      <c r="B184" s="229" t="s">
        <v>274</v>
      </c>
      <c r="C184" s="376">
        <v>2968</v>
      </c>
      <c r="D184" s="379">
        <v>57</v>
      </c>
      <c r="E184" s="238">
        <v>1.3</v>
      </c>
      <c r="F184" s="234">
        <v>14325497.300000001</v>
      </c>
      <c r="G184" s="235">
        <v>3427968.97</v>
      </c>
      <c r="H184" s="235">
        <v>151176.5</v>
      </c>
      <c r="I184" s="235">
        <v>9251.9</v>
      </c>
      <c r="J184" s="235">
        <v>232797.85</v>
      </c>
      <c r="K184" s="235">
        <v>15149.91</v>
      </c>
      <c r="L184" s="235">
        <v>-110940.82</v>
      </c>
      <c r="M184" s="235"/>
      <c r="N184" s="235">
        <v>14935.66</v>
      </c>
      <c r="O184" s="235">
        <v>1365195.1</v>
      </c>
      <c r="P184" s="235">
        <v>8049.34</v>
      </c>
      <c r="Q184" s="235">
        <v>13907.1</v>
      </c>
      <c r="R184" s="235">
        <v>-51117.56</v>
      </c>
      <c r="S184" s="235">
        <v>928319.75</v>
      </c>
      <c r="T184" s="235">
        <v>4653</v>
      </c>
      <c r="U184" s="235">
        <v>613418.65</v>
      </c>
      <c r="V184" s="235">
        <v>47379.55</v>
      </c>
      <c r="W184" s="236">
        <f t="shared" si="2"/>
        <v>20995642.200000003</v>
      </c>
      <c r="X184" s="235">
        <v>650</v>
      </c>
      <c r="Y184" s="235">
        <v>0</v>
      </c>
      <c r="Z184" s="237">
        <v>8.0000000000000002E-3</v>
      </c>
      <c r="AA184" s="235">
        <v>282</v>
      </c>
      <c r="AB184" s="235">
        <v>14</v>
      </c>
      <c r="AC184" s="235" t="s">
        <v>566</v>
      </c>
      <c r="AD184" s="235" t="s">
        <v>566</v>
      </c>
      <c r="AE184" s="235">
        <v>0</v>
      </c>
    </row>
    <row r="185" spans="1:31" x14ac:dyDescent="0.25">
      <c r="A185" s="111">
        <v>5712</v>
      </c>
      <c r="B185" s="229" t="s">
        <v>275</v>
      </c>
      <c r="C185" s="376">
        <v>3233</v>
      </c>
      <c r="D185" s="379">
        <v>57</v>
      </c>
      <c r="E185" s="238">
        <v>1.5</v>
      </c>
      <c r="F185" s="234">
        <v>15746939.5</v>
      </c>
      <c r="G185" s="235">
        <v>7104808.2400000002</v>
      </c>
      <c r="H185" s="235">
        <v>259664.55</v>
      </c>
      <c r="I185" s="235">
        <v>95746.45</v>
      </c>
      <c r="J185" s="235">
        <v>806524.93</v>
      </c>
      <c r="K185" s="235">
        <v>14150.12</v>
      </c>
      <c r="L185" s="235">
        <v>-49863.08</v>
      </c>
      <c r="M185" s="235"/>
      <c r="N185" s="235">
        <v>33088.269999999997</v>
      </c>
      <c r="O185" s="235">
        <v>1998419.8</v>
      </c>
      <c r="P185" s="235">
        <v>195335.46</v>
      </c>
      <c r="Q185" s="235">
        <v>49852.5</v>
      </c>
      <c r="R185" s="235">
        <v>-112918.19</v>
      </c>
      <c r="S185" s="235">
        <v>1217217.3</v>
      </c>
      <c r="T185" s="235">
        <v>41023394.899999999</v>
      </c>
      <c r="U185" s="235">
        <v>1678296.7</v>
      </c>
      <c r="V185" s="235">
        <v>152574.15</v>
      </c>
      <c r="W185" s="236">
        <f t="shared" si="2"/>
        <v>70213231.600000009</v>
      </c>
      <c r="X185" s="235">
        <v>184</v>
      </c>
      <c r="Y185" s="235">
        <v>2</v>
      </c>
      <c r="Z185" s="237">
        <v>3.5999999999999997E-2</v>
      </c>
      <c r="AA185" s="235">
        <v>296</v>
      </c>
      <c r="AB185" s="235">
        <v>2</v>
      </c>
      <c r="AC185" s="235" t="s">
        <v>566</v>
      </c>
      <c r="AD185" s="235" t="s">
        <v>566</v>
      </c>
      <c r="AE185" s="235">
        <v>0</v>
      </c>
    </row>
    <row r="186" spans="1:31" x14ac:dyDescent="0.25">
      <c r="A186" s="111">
        <v>5713</v>
      </c>
      <c r="B186" s="229" t="s">
        <v>276</v>
      </c>
      <c r="C186" s="376">
        <v>2483</v>
      </c>
      <c r="D186" s="379">
        <v>59</v>
      </c>
      <c r="E186" s="238">
        <v>1</v>
      </c>
      <c r="F186" s="234">
        <v>11067692.75</v>
      </c>
      <c r="G186" s="235">
        <v>5006858.37</v>
      </c>
      <c r="H186" s="235">
        <v>108709.15</v>
      </c>
      <c r="I186" s="235">
        <v>37798.800000000003</v>
      </c>
      <c r="J186" s="235">
        <v>398694.9</v>
      </c>
      <c r="K186" s="235">
        <v>532.91</v>
      </c>
      <c r="L186" s="235">
        <v>-58390.27</v>
      </c>
      <c r="M186" s="235"/>
      <c r="N186" s="235">
        <v>13639.68</v>
      </c>
      <c r="O186" s="235">
        <v>986191.45</v>
      </c>
      <c r="P186" s="235">
        <v>427132.32</v>
      </c>
      <c r="Q186" s="235">
        <v>62429.25</v>
      </c>
      <c r="R186" s="235">
        <v>-76471.81</v>
      </c>
      <c r="S186" s="235">
        <v>591733</v>
      </c>
      <c r="T186" s="235">
        <v>675629.5</v>
      </c>
      <c r="U186" s="235">
        <v>254963.1</v>
      </c>
      <c r="V186" s="235">
        <v>41616.400000000001</v>
      </c>
      <c r="W186" s="236">
        <f t="shared" si="2"/>
        <v>19538759.500000004</v>
      </c>
      <c r="X186" s="235">
        <v>428</v>
      </c>
      <c r="Y186" s="235">
        <v>0</v>
      </c>
      <c r="Z186" s="237">
        <v>3.5999999999999997E-2</v>
      </c>
      <c r="AA186" s="235">
        <v>250</v>
      </c>
      <c r="AB186" s="235">
        <v>125</v>
      </c>
      <c r="AC186" s="235" t="s">
        <v>566</v>
      </c>
      <c r="AD186" s="235" t="s">
        <v>566</v>
      </c>
      <c r="AE186" s="235">
        <v>1</v>
      </c>
    </row>
    <row r="187" spans="1:31" x14ac:dyDescent="0.25">
      <c r="A187" s="111">
        <v>5714</v>
      </c>
      <c r="B187" s="229" t="s">
        <v>277</v>
      </c>
      <c r="C187" s="376">
        <v>1272</v>
      </c>
      <c r="D187" s="379">
        <v>65</v>
      </c>
      <c r="E187" s="238">
        <v>1</v>
      </c>
      <c r="F187" s="234">
        <v>3359200.33</v>
      </c>
      <c r="G187" s="235">
        <v>498588.64</v>
      </c>
      <c r="H187" s="235">
        <v>80653.149999999994</v>
      </c>
      <c r="I187" s="235">
        <v>6147</v>
      </c>
      <c r="J187" s="235">
        <v>120918.15</v>
      </c>
      <c r="K187" s="235">
        <v>0</v>
      </c>
      <c r="L187" s="235">
        <v>-4684.34</v>
      </c>
      <c r="M187" s="235"/>
      <c r="N187" s="235">
        <v>8080.97</v>
      </c>
      <c r="O187" s="235">
        <v>325823.59999999998</v>
      </c>
      <c r="P187" s="235">
        <v>6459.08</v>
      </c>
      <c r="Q187" s="235">
        <v>8048.3</v>
      </c>
      <c r="R187" s="235">
        <v>-6101.95</v>
      </c>
      <c r="S187" s="235">
        <v>200463.75</v>
      </c>
      <c r="T187" s="235">
        <v>13496.4</v>
      </c>
      <c r="U187" s="235">
        <v>69416.649999999994</v>
      </c>
      <c r="V187" s="235">
        <v>104406.75</v>
      </c>
      <c r="W187" s="236">
        <f t="shared" si="2"/>
        <v>4790916.4800000004</v>
      </c>
      <c r="X187" s="235">
        <v>202</v>
      </c>
      <c r="Y187" s="235">
        <v>0</v>
      </c>
      <c r="Z187" s="237">
        <v>1.6E-2</v>
      </c>
      <c r="AA187" s="235">
        <v>149</v>
      </c>
      <c r="AB187" s="235">
        <v>27</v>
      </c>
      <c r="AC187" s="235" t="s">
        <v>566</v>
      </c>
      <c r="AD187" s="235" t="s">
        <v>566</v>
      </c>
      <c r="AE187" s="235">
        <v>0</v>
      </c>
    </row>
    <row r="188" spans="1:31" x14ac:dyDescent="0.25">
      <c r="A188" s="111">
        <v>5715</v>
      </c>
      <c r="B188" s="229" t="s">
        <v>278</v>
      </c>
      <c r="C188" s="376">
        <v>1120</v>
      </c>
      <c r="D188" s="379">
        <v>66</v>
      </c>
      <c r="E188" s="238">
        <v>1</v>
      </c>
      <c r="F188" s="234">
        <v>4323709.66</v>
      </c>
      <c r="G188" s="235">
        <v>633384.23</v>
      </c>
      <c r="H188" s="235">
        <v>74493</v>
      </c>
      <c r="I188" s="235">
        <v>17233.150000000001</v>
      </c>
      <c r="J188" s="235">
        <v>0</v>
      </c>
      <c r="K188" s="235">
        <v>6725.25</v>
      </c>
      <c r="L188" s="235">
        <v>-2830.59</v>
      </c>
      <c r="M188" s="235"/>
      <c r="N188" s="235">
        <v>8539.58</v>
      </c>
      <c r="O188" s="235">
        <v>310426.59999999998</v>
      </c>
      <c r="P188" s="235">
        <v>12152.28</v>
      </c>
      <c r="Q188" s="235">
        <v>8374</v>
      </c>
      <c r="R188" s="235">
        <v>-4249.5</v>
      </c>
      <c r="S188" s="235">
        <v>395477.3</v>
      </c>
      <c r="T188" s="235">
        <v>0</v>
      </c>
      <c r="U188" s="235">
        <v>408027.25</v>
      </c>
      <c r="V188" s="235">
        <v>166077.35</v>
      </c>
      <c r="W188" s="236">
        <f t="shared" si="2"/>
        <v>6357539.5600000005</v>
      </c>
      <c r="X188" s="235">
        <v>405</v>
      </c>
      <c r="Y188" s="235">
        <v>0</v>
      </c>
      <c r="Z188" s="237">
        <v>1.7000000000000001E-2</v>
      </c>
      <c r="AA188" s="235">
        <v>140</v>
      </c>
      <c r="AB188" s="235">
        <v>75</v>
      </c>
      <c r="AC188" s="235" t="s">
        <v>566</v>
      </c>
      <c r="AD188" s="235" t="s">
        <v>566</v>
      </c>
      <c r="AE188" s="235">
        <v>0</v>
      </c>
    </row>
    <row r="189" spans="1:31" x14ac:dyDescent="0.25">
      <c r="A189" s="111">
        <v>5716</v>
      </c>
      <c r="B189" s="229" t="s">
        <v>279</v>
      </c>
      <c r="C189" s="376">
        <v>1811</v>
      </c>
      <c r="D189" s="379">
        <v>59.5</v>
      </c>
      <c r="E189" s="238">
        <v>1</v>
      </c>
      <c r="F189" s="234">
        <v>5396434.1500000004</v>
      </c>
      <c r="G189" s="235">
        <v>1519608.33</v>
      </c>
      <c r="H189" s="235">
        <v>18515705.050000001</v>
      </c>
      <c r="I189" s="235">
        <v>872360.05</v>
      </c>
      <c r="J189" s="235">
        <v>0</v>
      </c>
      <c r="K189" s="235">
        <v>13078.13</v>
      </c>
      <c r="L189" s="235">
        <v>-20286.23</v>
      </c>
      <c r="M189" s="235"/>
      <c r="N189" s="235">
        <v>1801658.31</v>
      </c>
      <c r="O189" s="235">
        <v>722205.25</v>
      </c>
      <c r="P189" s="235">
        <v>274168.94</v>
      </c>
      <c r="Q189" s="235">
        <v>92523.5</v>
      </c>
      <c r="R189" s="235">
        <v>-39592.75</v>
      </c>
      <c r="S189" s="235">
        <v>281863.45</v>
      </c>
      <c r="T189" s="235">
        <v>15555.4</v>
      </c>
      <c r="U189" s="235">
        <v>181899.85</v>
      </c>
      <c r="V189" s="235">
        <v>443834.05</v>
      </c>
      <c r="W189" s="236">
        <f t="shared" si="2"/>
        <v>30071015.48</v>
      </c>
      <c r="X189" s="235">
        <v>236</v>
      </c>
      <c r="Y189" s="235">
        <v>0</v>
      </c>
      <c r="Z189" s="237">
        <v>4.4999999999999998E-2</v>
      </c>
      <c r="AA189" s="235">
        <v>216</v>
      </c>
      <c r="AB189" s="235">
        <v>116</v>
      </c>
      <c r="AC189" s="235" t="s">
        <v>566</v>
      </c>
      <c r="AD189" s="235" t="s">
        <v>566</v>
      </c>
      <c r="AE189" s="235">
        <v>0</v>
      </c>
    </row>
    <row r="190" spans="1:31" x14ac:dyDescent="0.25">
      <c r="A190" s="111">
        <v>5717</v>
      </c>
      <c r="B190" s="229" t="s">
        <v>280</v>
      </c>
      <c r="C190" s="376">
        <v>3737</v>
      </c>
      <c r="D190" s="379">
        <v>57</v>
      </c>
      <c r="E190" s="238">
        <v>1</v>
      </c>
      <c r="F190" s="234">
        <v>16346021.23</v>
      </c>
      <c r="G190" s="235">
        <v>4488425.53</v>
      </c>
      <c r="H190" s="235">
        <v>140831.4</v>
      </c>
      <c r="I190" s="235">
        <v>43909.65</v>
      </c>
      <c r="J190" s="235">
        <v>1306360.96</v>
      </c>
      <c r="K190" s="235">
        <v>26156.87</v>
      </c>
      <c r="L190" s="235">
        <v>-56575.43</v>
      </c>
      <c r="M190" s="235"/>
      <c r="N190" s="235">
        <v>17199.13</v>
      </c>
      <c r="O190" s="235">
        <v>1545554.55</v>
      </c>
      <c r="P190" s="235">
        <v>188862.99</v>
      </c>
      <c r="Q190" s="235">
        <v>103661.5</v>
      </c>
      <c r="R190" s="235">
        <v>-148410.76</v>
      </c>
      <c r="S190" s="235">
        <v>1193386.5</v>
      </c>
      <c r="T190" s="235">
        <v>624967.30000000005</v>
      </c>
      <c r="U190" s="235">
        <v>1798999.2</v>
      </c>
      <c r="V190" s="235">
        <v>275412.7</v>
      </c>
      <c r="W190" s="236">
        <f t="shared" si="2"/>
        <v>27894763.319999997</v>
      </c>
      <c r="X190" s="235">
        <v>476</v>
      </c>
      <c r="Y190" s="235">
        <v>0</v>
      </c>
      <c r="Z190" s="237">
        <v>1.4E-2</v>
      </c>
      <c r="AA190" s="235">
        <v>384</v>
      </c>
      <c r="AB190" s="235">
        <v>41</v>
      </c>
      <c r="AC190" s="235" t="s">
        <v>566</v>
      </c>
      <c r="AD190" s="235" t="s">
        <v>566</v>
      </c>
      <c r="AE190" s="235">
        <v>0</v>
      </c>
    </row>
    <row r="191" spans="1:31" x14ac:dyDescent="0.25">
      <c r="A191" s="111">
        <v>5718</v>
      </c>
      <c r="B191" s="229" t="s">
        <v>281</v>
      </c>
      <c r="C191" s="376">
        <v>2071</v>
      </c>
      <c r="D191" s="379">
        <v>52</v>
      </c>
      <c r="E191" s="238">
        <v>1</v>
      </c>
      <c r="F191" s="234">
        <v>7700594.3499999996</v>
      </c>
      <c r="G191" s="235">
        <v>2034240.9</v>
      </c>
      <c r="H191" s="235">
        <v>195703.75</v>
      </c>
      <c r="I191" s="235">
        <v>50600.95</v>
      </c>
      <c r="J191" s="235">
        <v>653939.36</v>
      </c>
      <c r="K191" s="235">
        <v>8603.9699999999993</v>
      </c>
      <c r="L191" s="235">
        <v>-15699.13</v>
      </c>
      <c r="M191" s="235"/>
      <c r="N191" s="235">
        <v>22930.62</v>
      </c>
      <c r="O191" s="235">
        <v>764831.05</v>
      </c>
      <c r="P191" s="235">
        <v>141728.22</v>
      </c>
      <c r="Q191" s="235">
        <v>49101.2</v>
      </c>
      <c r="R191" s="235">
        <v>-27376.47</v>
      </c>
      <c r="S191" s="235">
        <v>589081.94999999995</v>
      </c>
      <c r="T191" s="235">
        <v>1028831.7</v>
      </c>
      <c r="U191" s="235">
        <v>612939.30000000005</v>
      </c>
      <c r="V191" s="235">
        <v>235685.55</v>
      </c>
      <c r="W191" s="236">
        <f t="shared" si="2"/>
        <v>14045737.269999998</v>
      </c>
      <c r="X191" s="235">
        <v>484</v>
      </c>
      <c r="Y191" s="235">
        <v>0</v>
      </c>
      <c r="Z191" s="237">
        <v>7.2999999999999995E-2</v>
      </c>
      <c r="AA191" s="235">
        <v>237</v>
      </c>
      <c r="AB191" s="235">
        <v>94</v>
      </c>
      <c r="AC191" s="235" t="s">
        <v>566</v>
      </c>
      <c r="AD191" s="235" t="s">
        <v>566</v>
      </c>
      <c r="AE191" s="235">
        <v>0</v>
      </c>
    </row>
    <row r="192" spans="1:31" x14ac:dyDescent="0.25">
      <c r="A192" s="111">
        <v>5719</v>
      </c>
      <c r="B192" s="229" t="s">
        <v>282</v>
      </c>
      <c r="C192" s="376">
        <v>1241</v>
      </c>
      <c r="D192" s="379">
        <v>60</v>
      </c>
      <c r="E192" s="238">
        <v>0.6</v>
      </c>
      <c r="F192" s="234">
        <v>5796993.9199999999</v>
      </c>
      <c r="G192" s="235">
        <v>3182306.7</v>
      </c>
      <c r="H192" s="235">
        <v>100247.45</v>
      </c>
      <c r="I192" s="235">
        <v>6665.05</v>
      </c>
      <c r="J192" s="235">
        <v>254974.4</v>
      </c>
      <c r="K192" s="235">
        <v>28082.86</v>
      </c>
      <c r="L192" s="235">
        <v>-28103.95</v>
      </c>
      <c r="M192" s="235"/>
      <c r="N192" s="235">
        <v>10512</v>
      </c>
      <c r="O192" s="235">
        <v>280066.5</v>
      </c>
      <c r="P192" s="235">
        <v>36214.769999999997</v>
      </c>
      <c r="Q192" s="235">
        <v>12092.45</v>
      </c>
      <c r="R192" s="235">
        <v>-9626.15</v>
      </c>
      <c r="S192" s="235">
        <v>177068.85</v>
      </c>
      <c r="T192" s="235">
        <v>128184.4</v>
      </c>
      <c r="U192" s="235">
        <v>91877.7</v>
      </c>
      <c r="V192" s="235">
        <v>63888.9</v>
      </c>
      <c r="W192" s="236">
        <f t="shared" si="2"/>
        <v>10131445.85</v>
      </c>
      <c r="X192" s="235">
        <v>1249</v>
      </c>
      <c r="Y192" s="235">
        <v>2</v>
      </c>
      <c r="Z192" s="237">
        <v>0.31900000000000001</v>
      </c>
      <c r="AA192" s="235">
        <v>113</v>
      </c>
      <c r="AB192" s="235">
        <v>55</v>
      </c>
      <c r="AC192" s="235" t="s">
        <v>566</v>
      </c>
      <c r="AD192" s="235" t="s">
        <v>566</v>
      </c>
      <c r="AE192" s="235">
        <v>0</v>
      </c>
    </row>
    <row r="193" spans="1:31" x14ac:dyDescent="0.25">
      <c r="A193" s="111">
        <v>5720</v>
      </c>
      <c r="B193" s="229" t="s">
        <v>283</v>
      </c>
      <c r="C193" s="376">
        <v>1096</v>
      </c>
      <c r="D193" s="379">
        <v>67</v>
      </c>
      <c r="E193" s="238">
        <v>0.9</v>
      </c>
      <c r="F193" s="234">
        <v>3386697.01</v>
      </c>
      <c r="G193" s="235">
        <v>840489.72</v>
      </c>
      <c r="H193" s="235">
        <v>22910.400000000001</v>
      </c>
      <c r="I193" s="235">
        <v>8511.65</v>
      </c>
      <c r="J193" s="235">
        <v>577564.55000000005</v>
      </c>
      <c r="K193" s="235">
        <v>0</v>
      </c>
      <c r="L193" s="235">
        <v>-84020.7</v>
      </c>
      <c r="M193" s="235"/>
      <c r="N193" s="235">
        <v>2925.35</v>
      </c>
      <c r="O193" s="235">
        <v>312469.25</v>
      </c>
      <c r="P193" s="235">
        <v>28811.9</v>
      </c>
      <c r="Q193" s="235">
        <v>0</v>
      </c>
      <c r="R193" s="235">
        <v>-15096.99</v>
      </c>
      <c r="S193" s="235">
        <v>155402.79999999999</v>
      </c>
      <c r="T193" s="235">
        <v>0</v>
      </c>
      <c r="U193" s="235">
        <v>178295.2</v>
      </c>
      <c r="V193" s="235">
        <v>31096.6</v>
      </c>
      <c r="W193" s="236">
        <f t="shared" si="2"/>
        <v>5446056.7399999993</v>
      </c>
      <c r="X193" s="235">
        <v>394</v>
      </c>
      <c r="Y193" s="235">
        <v>0</v>
      </c>
      <c r="Z193" s="237">
        <v>0.248</v>
      </c>
      <c r="AA193" s="235">
        <v>115</v>
      </c>
      <c r="AB193" s="235">
        <v>18</v>
      </c>
      <c r="AC193" s="235" t="s">
        <v>566</v>
      </c>
      <c r="AD193" s="235" t="s">
        <v>566</v>
      </c>
      <c r="AE193" s="235">
        <v>0</v>
      </c>
    </row>
    <row r="194" spans="1:31" x14ac:dyDescent="0.25">
      <c r="A194" s="111">
        <v>5721</v>
      </c>
      <c r="B194" s="229" t="s">
        <v>284</v>
      </c>
      <c r="C194" s="376">
        <v>13978</v>
      </c>
      <c r="D194" s="379">
        <v>61</v>
      </c>
      <c r="E194" s="238">
        <v>1</v>
      </c>
      <c r="F194" s="234">
        <v>28090065.57</v>
      </c>
      <c r="G194" s="235">
        <v>6135934.9500000002</v>
      </c>
      <c r="H194" s="235">
        <v>9120939.9000000004</v>
      </c>
      <c r="I194" s="235">
        <v>287332.3</v>
      </c>
      <c r="J194" s="235">
        <v>663346.35</v>
      </c>
      <c r="K194" s="235">
        <v>61132.1</v>
      </c>
      <c r="L194" s="235">
        <v>-442855.96</v>
      </c>
      <c r="M194" s="235"/>
      <c r="N194" s="235">
        <v>875896.93</v>
      </c>
      <c r="O194" s="235">
        <v>3337420.6</v>
      </c>
      <c r="P194" s="235">
        <v>1079986.1399999999</v>
      </c>
      <c r="Q194" s="235">
        <v>628530.80000000005</v>
      </c>
      <c r="R194" s="235">
        <v>-39583.11</v>
      </c>
      <c r="S194" s="235">
        <v>2226198.9</v>
      </c>
      <c r="T194" s="235">
        <v>378372.8</v>
      </c>
      <c r="U194" s="235">
        <v>1341832.8999999999</v>
      </c>
      <c r="V194" s="235">
        <v>3255194</v>
      </c>
      <c r="W194" s="236">
        <f t="shared" si="2"/>
        <v>56999745.169999994</v>
      </c>
      <c r="X194" s="235">
        <v>832</v>
      </c>
      <c r="Y194" s="235">
        <v>0</v>
      </c>
      <c r="Z194" s="237">
        <v>2.8000000000000001E-2</v>
      </c>
      <c r="AA194" s="235">
        <v>1692</v>
      </c>
      <c r="AB194" s="235">
        <v>61</v>
      </c>
      <c r="AC194" s="235">
        <v>496450.85</v>
      </c>
      <c r="AD194" s="235">
        <v>19132</v>
      </c>
      <c r="AE194" s="235">
        <v>0</v>
      </c>
    </row>
    <row r="195" spans="1:31" x14ac:dyDescent="0.25">
      <c r="A195" s="111">
        <v>5722</v>
      </c>
      <c r="B195" s="229" t="s">
        <v>285</v>
      </c>
      <c r="C195" s="376">
        <v>413</v>
      </c>
      <c r="D195" s="379">
        <v>62</v>
      </c>
      <c r="E195" s="238">
        <v>1</v>
      </c>
      <c r="F195" s="234">
        <v>1190573.51</v>
      </c>
      <c r="G195" s="235">
        <v>190837.9</v>
      </c>
      <c r="H195" s="235">
        <v>19692.599999999999</v>
      </c>
      <c r="I195" s="235">
        <v>9536.4</v>
      </c>
      <c r="J195" s="235">
        <v>0</v>
      </c>
      <c r="K195" s="235">
        <v>0</v>
      </c>
      <c r="L195" s="235">
        <v>-11303.05</v>
      </c>
      <c r="M195" s="235"/>
      <c r="N195" s="235">
        <v>2721.18</v>
      </c>
      <c r="O195" s="235">
        <v>153419.85</v>
      </c>
      <c r="P195" s="235">
        <v>42170.11</v>
      </c>
      <c r="Q195" s="235">
        <v>21416.35</v>
      </c>
      <c r="R195" s="235">
        <v>-2232.1</v>
      </c>
      <c r="S195" s="235">
        <v>605305.9</v>
      </c>
      <c r="T195" s="235">
        <v>2168.4</v>
      </c>
      <c r="U195" s="235">
        <v>182160.95</v>
      </c>
      <c r="V195" s="235">
        <v>238605.3</v>
      </c>
      <c r="W195" s="236">
        <f t="shared" si="2"/>
        <v>2645073.2999999998</v>
      </c>
      <c r="X195" s="235">
        <v>255</v>
      </c>
      <c r="Y195" s="235">
        <v>0</v>
      </c>
      <c r="Z195" s="237">
        <v>5.0000000000000001E-3</v>
      </c>
      <c r="AA195" s="235">
        <v>49</v>
      </c>
      <c r="AB195" s="235">
        <v>30</v>
      </c>
      <c r="AC195" s="235" t="s">
        <v>566</v>
      </c>
      <c r="AD195" s="235" t="s">
        <v>566</v>
      </c>
      <c r="AE195" s="235">
        <v>0</v>
      </c>
    </row>
    <row r="196" spans="1:31" x14ac:dyDescent="0.25">
      <c r="A196" s="111">
        <v>5723</v>
      </c>
      <c r="B196" s="229" t="s">
        <v>286</v>
      </c>
      <c r="C196" s="376">
        <v>2194</v>
      </c>
      <c r="D196" s="379">
        <v>54</v>
      </c>
      <c r="E196" s="238">
        <v>1</v>
      </c>
      <c r="F196" s="234">
        <v>11031536.029999999</v>
      </c>
      <c r="G196" s="235">
        <v>3324807.93</v>
      </c>
      <c r="H196" s="235">
        <v>170497.7</v>
      </c>
      <c r="I196" s="235">
        <v>11233.45</v>
      </c>
      <c r="J196" s="235">
        <v>731840.15</v>
      </c>
      <c r="K196" s="235">
        <v>1915.57</v>
      </c>
      <c r="L196" s="235">
        <v>-33895.67</v>
      </c>
      <c r="M196" s="235"/>
      <c r="N196" s="235">
        <v>16918.91</v>
      </c>
      <c r="O196" s="235">
        <v>1069061.75</v>
      </c>
      <c r="P196" s="235">
        <v>23088.639999999999</v>
      </c>
      <c r="Q196" s="235">
        <v>88725.85</v>
      </c>
      <c r="R196" s="235">
        <v>-85553.29</v>
      </c>
      <c r="S196" s="235">
        <v>1228773.75</v>
      </c>
      <c r="T196" s="235">
        <v>380120.8</v>
      </c>
      <c r="U196" s="235">
        <v>359394</v>
      </c>
      <c r="V196" s="235">
        <v>239016.4</v>
      </c>
      <c r="W196" s="236">
        <f t="shared" si="2"/>
        <v>18557481.969999999</v>
      </c>
      <c r="X196" s="235">
        <v>349</v>
      </c>
      <c r="Y196" s="235">
        <v>0</v>
      </c>
      <c r="Z196" s="237">
        <v>1.9E-2</v>
      </c>
      <c r="AA196" s="235">
        <v>178</v>
      </c>
      <c r="AB196" s="235">
        <v>69</v>
      </c>
      <c r="AC196" s="235" t="s">
        <v>566</v>
      </c>
      <c r="AD196" s="235" t="s">
        <v>566</v>
      </c>
      <c r="AE196" s="235">
        <v>0</v>
      </c>
    </row>
    <row r="197" spans="1:31" x14ac:dyDescent="0.25">
      <c r="A197" s="111">
        <v>5724</v>
      </c>
      <c r="B197" s="229" t="s">
        <v>68</v>
      </c>
      <c r="C197" s="376">
        <v>23732</v>
      </c>
      <c r="D197" s="379">
        <v>61</v>
      </c>
      <c r="E197" s="238">
        <v>1.5</v>
      </c>
      <c r="F197" s="234">
        <v>72632101.920000002</v>
      </c>
      <c r="G197" s="235">
        <v>13490241.460000001</v>
      </c>
      <c r="H197" s="235">
        <v>9605214.5500000007</v>
      </c>
      <c r="I197" s="235">
        <v>1411595.55</v>
      </c>
      <c r="J197" s="235">
        <v>788073.33</v>
      </c>
      <c r="K197" s="235">
        <v>162488.49</v>
      </c>
      <c r="L197" s="235">
        <v>-773222.1</v>
      </c>
      <c r="M197" s="235"/>
      <c r="N197" s="235">
        <v>1025677.48</v>
      </c>
      <c r="O197" s="235">
        <v>9483325.9499999993</v>
      </c>
      <c r="P197" s="235">
        <v>3280465.57</v>
      </c>
      <c r="Q197" s="235">
        <v>555043.44999999995</v>
      </c>
      <c r="R197" s="235">
        <v>-377616.34</v>
      </c>
      <c r="S197" s="235">
        <v>3361788.3</v>
      </c>
      <c r="T197" s="235">
        <v>4339292.2</v>
      </c>
      <c r="U197" s="235">
        <v>2453056.4</v>
      </c>
      <c r="V197" s="235">
        <v>5903364.0999999996</v>
      </c>
      <c r="W197" s="236">
        <f t="shared" si="2"/>
        <v>127340890.30999999</v>
      </c>
      <c r="X197" s="235">
        <v>683</v>
      </c>
      <c r="Y197" s="235">
        <v>0</v>
      </c>
      <c r="Z197" s="237">
        <v>5.8000000000000003E-2</v>
      </c>
      <c r="AA197" s="235">
        <v>2478</v>
      </c>
      <c r="AB197" s="235">
        <v>25</v>
      </c>
      <c r="AC197" s="235">
        <v>3557554</v>
      </c>
      <c r="AD197" s="235">
        <v>0</v>
      </c>
      <c r="AE197" s="235">
        <v>1</v>
      </c>
    </row>
    <row r="198" spans="1:31" x14ac:dyDescent="0.25">
      <c r="A198" s="111">
        <v>5725</v>
      </c>
      <c r="B198" s="229" t="s">
        <v>287</v>
      </c>
      <c r="C198" s="376">
        <v>4243</v>
      </c>
      <c r="D198" s="379">
        <v>55</v>
      </c>
      <c r="E198" s="238">
        <v>1.4</v>
      </c>
      <c r="F198" s="234">
        <v>11900614.91</v>
      </c>
      <c r="G198" s="235">
        <v>4621115.8</v>
      </c>
      <c r="H198" s="235">
        <v>1417806.15</v>
      </c>
      <c r="I198" s="235">
        <v>290602.84999999998</v>
      </c>
      <c r="J198" s="235">
        <v>292899.09999999998</v>
      </c>
      <c r="K198" s="235">
        <v>7179.08</v>
      </c>
      <c r="L198" s="235">
        <v>-56436</v>
      </c>
      <c r="M198" s="235"/>
      <c r="N198" s="235">
        <v>159050.48000000001</v>
      </c>
      <c r="O198" s="235">
        <v>1820475.35</v>
      </c>
      <c r="P198" s="235">
        <v>336021.37</v>
      </c>
      <c r="Q198" s="235">
        <v>21658.5</v>
      </c>
      <c r="R198" s="235">
        <v>-46164.15</v>
      </c>
      <c r="S198" s="235">
        <v>1517527.65</v>
      </c>
      <c r="T198" s="235">
        <v>42597.3</v>
      </c>
      <c r="U198" s="235">
        <v>828695.1</v>
      </c>
      <c r="V198" s="235">
        <v>1341152.95</v>
      </c>
      <c r="W198" s="236">
        <f t="shared" si="2"/>
        <v>24494796.440000005</v>
      </c>
      <c r="X198" s="235">
        <v>600</v>
      </c>
      <c r="Y198" s="235">
        <v>0</v>
      </c>
      <c r="Z198" s="237">
        <v>2.8000000000000001E-2</v>
      </c>
      <c r="AA198" s="235">
        <v>472</v>
      </c>
      <c r="AB198" s="235">
        <v>121</v>
      </c>
      <c r="AC198" s="235">
        <v>916487</v>
      </c>
      <c r="AD198" s="235">
        <v>0</v>
      </c>
      <c r="AE198" s="235">
        <v>1</v>
      </c>
    </row>
    <row r="199" spans="1:31" x14ac:dyDescent="0.25">
      <c r="A199" s="111">
        <v>5726</v>
      </c>
      <c r="B199" s="229" t="s">
        <v>288</v>
      </c>
      <c r="C199" s="376">
        <v>1218</v>
      </c>
      <c r="D199" s="379">
        <v>63.5</v>
      </c>
      <c r="E199" s="238">
        <v>1</v>
      </c>
      <c r="F199" s="234">
        <v>3743288.95</v>
      </c>
      <c r="G199" s="235">
        <v>783038.25</v>
      </c>
      <c r="H199" s="235">
        <v>14341.65</v>
      </c>
      <c r="I199" s="235">
        <v>4946.3</v>
      </c>
      <c r="J199" s="235">
        <v>0</v>
      </c>
      <c r="K199" s="235">
        <v>14279.69</v>
      </c>
      <c r="L199" s="235">
        <v>-23892.43</v>
      </c>
      <c r="M199" s="235"/>
      <c r="N199" s="235">
        <v>1795.68</v>
      </c>
      <c r="O199" s="235">
        <v>301019.84999999998</v>
      </c>
      <c r="P199" s="235">
        <v>27568.06</v>
      </c>
      <c r="Q199" s="235">
        <v>5293.95</v>
      </c>
      <c r="R199" s="235">
        <v>-14702.91</v>
      </c>
      <c r="S199" s="235">
        <v>132965.79999999999</v>
      </c>
      <c r="T199" s="235">
        <v>0</v>
      </c>
      <c r="U199" s="235">
        <v>211306.8</v>
      </c>
      <c r="V199" s="235">
        <v>34805.699999999997</v>
      </c>
      <c r="W199" s="236">
        <f t="shared" si="2"/>
        <v>5236055.34</v>
      </c>
      <c r="X199" s="235">
        <v>1646</v>
      </c>
      <c r="Y199" s="235">
        <v>0</v>
      </c>
      <c r="Z199" s="237">
        <v>0.29699999999999999</v>
      </c>
      <c r="AA199" s="235">
        <v>155</v>
      </c>
      <c r="AB199" s="235">
        <v>54</v>
      </c>
      <c r="AC199" s="235" t="s">
        <v>566</v>
      </c>
      <c r="AD199" s="235" t="s">
        <v>566</v>
      </c>
      <c r="AE199" s="235">
        <v>0</v>
      </c>
    </row>
    <row r="200" spans="1:31" x14ac:dyDescent="0.25">
      <c r="A200" s="111">
        <v>5727</v>
      </c>
      <c r="B200" s="229" t="s">
        <v>289</v>
      </c>
      <c r="C200" s="376">
        <v>3057</v>
      </c>
      <c r="D200" s="379">
        <v>66</v>
      </c>
      <c r="E200" s="238">
        <v>1.5</v>
      </c>
      <c r="F200" s="234">
        <v>5190413.57</v>
      </c>
      <c r="G200" s="235">
        <v>638585.48</v>
      </c>
      <c r="H200" s="235">
        <v>72750.850000000006</v>
      </c>
      <c r="I200" s="235">
        <v>-6546.6</v>
      </c>
      <c r="J200" s="235">
        <v>93713.9</v>
      </c>
      <c r="K200" s="235">
        <v>31740.1</v>
      </c>
      <c r="L200" s="235">
        <v>-248337.43</v>
      </c>
      <c r="M200" s="235"/>
      <c r="N200" s="235">
        <v>6163.52</v>
      </c>
      <c r="O200" s="235">
        <v>925043.65</v>
      </c>
      <c r="P200" s="235">
        <v>153777.75</v>
      </c>
      <c r="Q200" s="235">
        <v>13073</v>
      </c>
      <c r="R200" s="235">
        <v>-12017.64</v>
      </c>
      <c r="S200" s="235">
        <v>369007.35</v>
      </c>
      <c r="T200" s="235">
        <v>70023</v>
      </c>
      <c r="U200" s="235">
        <v>329444.75</v>
      </c>
      <c r="V200" s="235">
        <v>281407.05</v>
      </c>
      <c r="W200" s="236">
        <f t="shared" si="2"/>
        <v>7908242.3000000007</v>
      </c>
      <c r="X200" s="235">
        <v>2413</v>
      </c>
      <c r="Y200" s="235">
        <v>3057</v>
      </c>
      <c r="Z200" s="237">
        <v>0.27</v>
      </c>
      <c r="AA200" s="235">
        <v>353</v>
      </c>
      <c r="AB200" s="235">
        <v>177</v>
      </c>
      <c r="AC200" s="235" t="s">
        <v>566</v>
      </c>
      <c r="AD200" s="235" t="s">
        <v>566</v>
      </c>
      <c r="AE200" s="235">
        <v>0</v>
      </c>
    </row>
    <row r="201" spans="1:31" x14ac:dyDescent="0.25">
      <c r="A201" s="111">
        <v>5728</v>
      </c>
      <c r="B201" s="229" t="s">
        <v>290</v>
      </c>
      <c r="C201" s="376">
        <v>586</v>
      </c>
      <c r="D201" s="379">
        <v>58</v>
      </c>
      <c r="E201" s="238">
        <v>1</v>
      </c>
      <c r="F201" s="234">
        <v>1703190.41</v>
      </c>
      <c r="G201" s="235">
        <v>312556.33</v>
      </c>
      <c r="H201" s="235">
        <v>414854.2</v>
      </c>
      <c r="I201" s="235">
        <v>57056</v>
      </c>
      <c r="J201" s="235">
        <v>-31747.15</v>
      </c>
      <c r="K201" s="235">
        <v>0</v>
      </c>
      <c r="L201" s="235">
        <v>-11512.78</v>
      </c>
      <c r="M201" s="235"/>
      <c r="N201" s="235">
        <v>43934.18</v>
      </c>
      <c r="O201" s="235">
        <v>247834.6</v>
      </c>
      <c r="P201" s="235">
        <v>59983.040000000001</v>
      </c>
      <c r="Q201" s="235">
        <v>61787.95</v>
      </c>
      <c r="R201" s="235">
        <v>-3742.9</v>
      </c>
      <c r="S201" s="235">
        <v>476633</v>
      </c>
      <c r="T201" s="235">
        <v>0</v>
      </c>
      <c r="U201" s="235">
        <v>36721.050000000003</v>
      </c>
      <c r="V201" s="235">
        <v>282629.95</v>
      </c>
      <c r="W201" s="236">
        <f t="shared" ref="W201:W264" si="3">SUM(F201:V201)</f>
        <v>3650177.8800000008</v>
      </c>
      <c r="X201" s="235">
        <v>193</v>
      </c>
      <c r="Y201" s="235">
        <v>0</v>
      </c>
      <c r="Z201" s="237">
        <v>8.9999999999999993E-3</v>
      </c>
      <c r="AA201" s="235">
        <v>61</v>
      </c>
      <c r="AB201" s="235">
        <v>58</v>
      </c>
      <c r="AC201" s="235" t="s">
        <v>566</v>
      </c>
      <c r="AD201" s="235" t="s">
        <v>566</v>
      </c>
      <c r="AE201" s="235">
        <v>0</v>
      </c>
    </row>
    <row r="202" spans="1:31" x14ac:dyDescent="0.25">
      <c r="A202" s="111">
        <v>5729</v>
      </c>
      <c r="B202" s="229" t="s">
        <v>291</v>
      </c>
      <c r="C202" s="376">
        <v>1732</v>
      </c>
      <c r="D202" s="379">
        <v>60.5</v>
      </c>
      <c r="E202" s="238">
        <v>1.5</v>
      </c>
      <c r="F202" s="234">
        <v>8222102.4000000004</v>
      </c>
      <c r="G202" s="235">
        <v>1974323.62</v>
      </c>
      <c r="H202" s="235">
        <v>10199.200000000001</v>
      </c>
      <c r="I202" s="235">
        <v>7794.35</v>
      </c>
      <c r="J202" s="235">
        <v>252359.54</v>
      </c>
      <c r="K202" s="235">
        <v>4659.1000000000004</v>
      </c>
      <c r="L202" s="235">
        <v>-31907.52</v>
      </c>
      <c r="M202" s="235"/>
      <c r="N202" s="235">
        <v>1668.68</v>
      </c>
      <c r="O202" s="235">
        <v>1016937.75</v>
      </c>
      <c r="P202" s="235">
        <v>123917.61</v>
      </c>
      <c r="Q202" s="235">
        <v>7872.25</v>
      </c>
      <c r="R202" s="235">
        <v>-22763.02</v>
      </c>
      <c r="S202" s="235">
        <v>631094.05000000005</v>
      </c>
      <c r="T202" s="235">
        <v>2904</v>
      </c>
      <c r="U202" s="235">
        <v>507826.25</v>
      </c>
      <c r="V202" s="235">
        <v>25866</v>
      </c>
      <c r="W202" s="236">
        <f t="shared" si="3"/>
        <v>12734854.259999998</v>
      </c>
      <c r="X202" s="235">
        <v>178</v>
      </c>
      <c r="Y202" s="235">
        <v>0</v>
      </c>
      <c r="Z202" s="237">
        <v>3.2000000000000001E-2</v>
      </c>
      <c r="AA202" s="235">
        <v>150</v>
      </c>
      <c r="AB202" s="235">
        <v>13</v>
      </c>
      <c r="AC202" s="235" t="s">
        <v>566</v>
      </c>
      <c r="AD202" s="235" t="s">
        <v>566</v>
      </c>
      <c r="AE202" s="235">
        <v>0</v>
      </c>
    </row>
    <row r="203" spans="1:31" x14ac:dyDescent="0.25">
      <c r="A203" s="111">
        <v>5730</v>
      </c>
      <c r="B203" s="229" t="s">
        <v>292</v>
      </c>
      <c r="C203" s="376">
        <v>1427</v>
      </c>
      <c r="D203" s="379">
        <v>55.5</v>
      </c>
      <c r="E203" s="238">
        <v>0.9</v>
      </c>
      <c r="F203" s="234">
        <v>4917377.05</v>
      </c>
      <c r="G203" s="235">
        <v>2506471.31</v>
      </c>
      <c r="H203" s="235">
        <v>72355.399999999994</v>
      </c>
      <c r="I203" s="235">
        <v>3516.15</v>
      </c>
      <c r="J203" s="235">
        <v>123456.62</v>
      </c>
      <c r="K203" s="235">
        <v>61691.32</v>
      </c>
      <c r="L203" s="235">
        <v>-80799.100000000006</v>
      </c>
      <c r="M203" s="235"/>
      <c r="N203" s="235">
        <v>6659.36</v>
      </c>
      <c r="O203" s="235">
        <v>453358.2</v>
      </c>
      <c r="P203" s="235">
        <v>70417.009999999995</v>
      </c>
      <c r="Q203" s="235">
        <v>12203.05</v>
      </c>
      <c r="R203" s="235">
        <v>-112953.4</v>
      </c>
      <c r="S203" s="235">
        <v>232190.65</v>
      </c>
      <c r="T203" s="235">
        <v>17062.599999999999</v>
      </c>
      <c r="U203" s="235">
        <v>385512.25</v>
      </c>
      <c r="V203" s="235">
        <v>23219.7</v>
      </c>
      <c r="W203" s="236">
        <f t="shared" si="3"/>
        <v>8691738.1699999999</v>
      </c>
      <c r="X203" s="235">
        <v>584</v>
      </c>
      <c r="Y203" s="235">
        <v>0</v>
      </c>
      <c r="Z203" s="237">
        <v>7.0000000000000007E-2</v>
      </c>
      <c r="AA203" s="235">
        <v>146</v>
      </c>
      <c r="AB203" s="235">
        <v>74</v>
      </c>
      <c r="AC203" s="235" t="s">
        <v>566</v>
      </c>
      <c r="AD203" s="235" t="s">
        <v>566</v>
      </c>
      <c r="AE203" s="235">
        <v>0</v>
      </c>
    </row>
    <row r="204" spans="1:31" x14ac:dyDescent="0.25">
      <c r="A204" s="111">
        <v>5731</v>
      </c>
      <c r="B204" s="229" t="s">
        <v>293</v>
      </c>
      <c r="C204" s="376">
        <v>1374</v>
      </c>
      <c r="D204" s="379">
        <v>69</v>
      </c>
      <c r="E204" s="238">
        <v>1.5</v>
      </c>
      <c r="F204" s="234">
        <v>3772921.99</v>
      </c>
      <c r="G204" s="235">
        <v>529482.02</v>
      </c>
      <c r="H204" s="235">
        <v>10476.1</v>
      </c>
      <c r="I204" s="235">
        <v>4779.1499999999996</v>
      </c>
      <c r="J204" s="235">
        <v>0</v>
      </c>
      <c r="K204" s="235">
        <v>13649.46</v>
      </c>
      <c r="L204" s="235">
        <v>-30786.15</v>
      </c>
      <c r="M204" s="235"/>
      <c r="N204" s="235">
        <v>1420.24</v>
      </c>
      <c r="O204" s="235">
        <v>479792.15</v>
      </c>
      <c r="P204" s="235">
        <v>50336.49</v>
      </c>
      <c r="Q204" s="235">
        <v>5779.6</v>
      </c>
      <c r="R204" s="235">
        <v>-8445.0499999999993</v>
      </c>
      <c r="S204" s="235">
        <v>199953.05</v>
      </c>
      <c r="T204" s="235">
        <v>0</v>
      </c>
      <c r="U204" s="235">
        <v>239697.6</v>
      </c>
      <c r="V204" s="235">
        <v>32606.35</v>
      </c>
      <c r="W204" s="236">
        <f t="shared" si="3"/>
        <v>5301662.9999999991</v>
      </c>
      <c r="X204" s="235">
        <v>313</v>
      </c>
      <c r="Y204" s="235">
        <v>1370</v>
      </c>
      <c r="Z204" s="237">
        <v>0.13500000000000001</v>
      </c>
      <c r="AA204" s="235">
        <v>151</v>
      </c>
      <c r="AB204" s="235">
        <v>47</v>
      </c>
      <c r="AC204" s="235" t="s">
        <v>566</v>
      </c>
      <c r="AD204" s="235" t="s">
        <v>566</v>
      </c>
      <c r="AE204" s="235">
        <v>0</v>
      </c>
    </row>
    <row r="205" spans="1:31" x14ac:dyDescent="0.25">
      <c r="A205" s="111">
        <v>5732</v>
      </c>
      <c r="B205" s="229" t="s">
        <v>294</v>
      </c>
      <c r="C205" s="376">
        <v>1174</v>
      </c>
      <c r="D205" s="379">
        <v>63</v>
      </c>
      <c r="E205" s="238">
        <v>1</v>
      </c>
      <c r="F205" s="234">
        <v>4296382.3099999996</v>
      </c>
      <c r="G205" s="235">
        <v>1056751.54</v>
      </c>
      <c r="H205" s="235">
        <v>211136.6</v>
      </c>
      <c r="I205" s="235">
        <v>10828.65</v>
      </c>
      <c r="J205" s="235">
        <v>0</v>
      </c>
      <c r="K205" s="235">
        <v>13292.59</v>
      </c>
      <c r="L205" s="235">
        <v>-51891.97</v>
      </c>
      <c r="M205" s="235"/>
      <c r="N205" s="235">
        <v>20664.650000000001</v>
      </c>
      <c r="O205" s="235">
        <v>410777.65</v>
      </c>
      <c r="P205" s="235">
        <v>-16056.31</v>
      </c>
      <c r="Q205" s="235">
        <v>28322.799999999999</v>
      </c>
      <c r="R205" s="235">
        <v>-15261.24</v>
      </c>
      <c r="S205" s="235">
        <v>185891.8</v>
      </c>
      <c r="T205" s="235">
        <v>17199</v>
      </c>
      <c r="U205" s="235">
        <v>156372.45000000001</v>
      </c>
      <c r="V205" s="235">
        <v>147525.4</v>
      </c>
      <c r="W205" s="236">
        <f t="shared" si="3"/>
        <v>6471935.9200000009</v>
      </c>
      <c r="X205" s="235">
        <v>152</v>
      </c>
      <c r="Y205" s="235">
        <v>0</v>
      </c>
      <c r="Z205" s="237">
        <v>0.108</v>
      </c>
      <c r="AA205" s="235">
        <v>133</v>
      </c>
      <c r="AB205" s="235">
        <v>19</v>
      </c>
      <c r="AC205" s="235" t="s">
        <v>566</v>
      </c>
      <c r="AD205" s="235" t="s">
        <v>566</v>
      </c>
      <c r="AE205" s="235">
        <v>0</v>
      </c>
    </row>
    <row r="206" spans="1:31" x14ac:dyDescent="0.25">
      <c r="A206" s="111">
        <v>5741</v>
      </c>
      <c r="B206" s="229" t="s">
        <v>295</v>
      </c>
      <c r="C206" s="376">
        <v>267</v>
      </c>
      <c r="D206" s="379">
        <v>80</v>
      </c>
      <c r="E206" s="238">
        <v>1.2</v>
      </c>
      <c r="F206" s="234">
        <v>542775.18999999994</v>
      </c>
      <c r="G206" s="235">
        <v>105964.91</v>
      </c>
      <c r="H206" s="235">
        <v>3203.5</v>
      </c>
      <c r="I206" s="235">
        <v>1911.85</v>
      </c>
      <c r="J206" s="235">
        <v>0</v>
      </c>
      <c r="K206" s="235">
        <v>8220.32</v>
      </c>
      <c r="L206" s="235">
        <v>-24410.13</v>
      </c>
      <c r="M206" s="235"/>
      <c r="N206" s="235">
        <v>476.23</v>
      </c>
      <c r="O206" s="235">
        <v>57101.45</v>
      </c>
      <c r="P206" s="235">
        <v>7528.59</v>
      </c>
      <c r="Q206" s="235">
        <v>0</v>
      </c>
      <c r="R206" s="235">
        <v>-60.75</v>
      </c>
      <c r="S206" s="235">
        <v>26323.45</v>
      </c>
      <c r="T206" s="235">
        <v>3.5</v>
      </c>
      <c r="U206" s="235">
        <v>26935.5</v>
      </c>
      <c r="V206" s="235">
        <v>12588.45</v>
      </c>
      <c r="W206" s="236">
        <f t="shared" si="3"/>
        <v>768562.05999999971</v>
      </c>
      <c r="X206" s="235">
        <v>581</v>
      </c>
      <c r="Y206" s="235">
        <v>25</v>
      </c>
      <c r="Z206" s="237">
        <v>0.30199999999999999</v>
      </c>
      <c r="AA206" s="235">
        <v>26</v>
      </c>
      <c r="AB206" s="235">
        <v>26</v>
      </c>
      <c r="AC206" s="235" t="s">
        <v>566</v>
      </c>
      <c r="AD206" s="235" t="s">
        <v>566</v>
      </c>
      <c r="AE206" s="235">
        <v>0</v>
      </c>
    </row>
    <row r="207" spans="1:31" x14ac:dyDescent="0.25">
      <c r="A207" s="111">
        <v>5742</v>
      </c>
      <c r="B207" s="229" t="s">
        <v>296</v>
      </c>
      <c r="C207" s="376">
        <v>382</v>
      </c>
      <c r="D207" s="379">
        <v>76</v>
      </c>
      <c r="E207" s="238">
        <v>0.5</v>
      </c>
      <c r="F207" s="234">
        <v>721673.14</v>
      </c>
      <c r="G207" s="235">
        <v>60951.87</v>
      </c>
      <c r="H207" s="235">
        <v>21335.55</v>
      </c>
      <c r="I207" s="235">
        <v>2190</v>
      </c>
      <c r="J207" s="235">
        <v>0</v>
      </c>
      <c r="K207" s="235">
        <v>0</v>
      </c>
      <c r="L207" s="235">
        <v>-11049.67</v>
      </c>
      <c r="M207" s="235"/>
      <c r="N207" s="235">
        <v>2190.1999999999998</v>
      </c>
      <c r="O207" s="235">
        <v>30451.85</v>
      </c>
      <c r="P207" s="235">
        <v>12843.59</v>
      </c>
      <c r="Q207" s="235">
        <v>1672.3</v>
      </c>
      <c r="R207" s="235">
        <v>-141.69999999999999</v>
      </c>
      <c r="S207" s="235">
        <v>7150</v>
      </c>
      <c r="T207" s="235">
        <v>9638.7000000000007</v>
      </c>
      <c r="U207" s="235">
        <v>42649.25</v>
      </c>
      <c r="V207" s="235">
        <v>1214.9000000000001</v>
      </c>
      <c r="W207" s="236">
        <f t="shared" si="3"/>
        <v>902769.98</v>
      </c>
      <c r="X207" s="235">
        <v>543</v>
      </c>
      <c r="Y207" s="235">
        <v>0</v>
      </c>
      <c r="Z207" s="237">
        <v>7.0999999999999994E-2</v>
      </c>
      <c r="AA207" s="235">
        <v>61</v>
      </c>
      <c r="AB207" s="235">
        <v>31</v>
      </c>
      <c r="AC207" s="235" t="s">
        <v>566</v>
      </c>
      <c r="AD207" s="235" t="s">
        <v>566</v>
      </c>
      <c r="AE207" s="235">
        <v>0</v>
      </c>
    </row>
    <row r="208" spans="1:31" x14ac:dyDescent="0.25">
      <c r="A208" s="111">
        <v>5743</v>
      </c>
      <c r="B208" s="229" t="s">
        <v>297</v>
      </c>
      <c r="C208" s="376">
        <v>698</v>
      </c>
      <c r="D208" s="379">
        <v>71</v>
      </c>
      <c r="E208" s="238">
        <v>0.8</v>
      </c>
      <c r="F208" s="234">
        <v>1049175.29</v>
      </c>
      <c r="G208" s="235">
        <v>148616.70000000001</v>
      </c>
      <c r="H208" s="235">
        <v>18998.400000000001</v>
      </c>
      <c r="I208" s="235">
        <v>1450.1</v>
      </c>
      <c r="J208" s="235">
        <v>0</v>
      </c>
      <c r="K208" s="235">
        <v>0</v>
      </c>
      <c r="L208" s="235">
        <v>-14424.83</v>
      </c>
      <c r="M208" s="235"/>
      <c r="N208" s="235">
        <v>1903.73</v>
      </c>
      <c r="O208" s="235">
        <v>82482.899999999994</v>
      </c>
      <c r="P208" s="235">
        <v>12108.61</v>
      </c>
      <c r="Q208" s="235">
        <v>0</v>
      </c>
      <c r="R208" s="235">
        <v>-119.6</v>
      </c>
      <c r="S208" s="235">
        <v>21399.55</v>
      </c>
      <c r="T208" s="235">
        <v>0</v>
      </c>
      <c r="U208" s="235">
        <v>13205.85</v>
      </c>
      <c r="V208" s="235">
        <v>27638.6</v>
      </c>
      <c r="W208" s="236">
        <f t="shared" si="3"/>
        <v>1362435.3</v>
      </c>
      <c r="X208" s="235">
        <v>756</v>
      </c>
      <c r="Y208" s="235">
        <v>0</v>
      </c>
      <c r="Z208" s="237">
        <v>5.1999999999999998E-2</v>
      </c>
      <c r="AA208" s="235">
        <v>91</v>
      </c>
      <c r="AB208" s="235">
        <v>50</v>
      </c>
      <c r="AC208" s="235" t="s">
        <v>566</v>
      </c>
      <c r="AD208" s="235" t="s">
        <v>566</v>
      </c>
      <c r="AE208" s="235">
        <v>0</v>
      </c>
    </row>
    <row r="209" spans="1:31" x14ac:dyDescent="0.25">
      <c r="A209" s="111">
        <v>5744</v>
      </c>
      <c r="B209" s="229" t="s">
        <v>298</v>
      </c>
      <c r="C209" s="376">
        <v>1217</v>
      </c>
      <c r="D209" s="379">
        <v>65</v>
      </c>
      <c r="E209" s="238">
        <v>1</v>
      </c>
      <c r="F209" s="234">
        <v>1397737.95</v>
      </c>
      <c r="G209" s="235">
        <v>223522.51</v>
      </c>
      <c r="H209" s="235">
        <v>1538494.45</v>
      </c>
      <c r="I209" s="235">
        <v>12026.15</v>
      </c>
      <c r="J209" s="235">
        <v>0</v>
      </c>
      <c r="K209" s="235">
        <v>16001.13</v>
      </c>
      <c r="L209" s="235">
        <v>-22446.720000000001</v>
      </c>
      <c r="M209" s="235"/>
      <c r="N209" s="235">
        <v>144351.29</v>
      </c>
      <c r="O209" s="235">
        <v>208066.15</v>
      </c>
      <c r="P209" s="235">
        <v>69072.89</v>
      </c>
      <c r="Q209" s="235">
        <v>0</v>
      </c>
      <c r="R209" s="235">
        <v>-2119.3000000000002</v>
      </c>
      <c r="S209" s="235">
        <v>95391.35</v>
      </c>
      <c r="T209" s="235">
        <v>0</v>
      </c>
      <c r="U209" s="235">
        <v>53171</v>
      </c>
      <c r="V209" s="235">
        <v>1033265.45</v>
      </c>
      <c r="W209" s="236">
        <f t="shared" si="3"/>
        <v>4766534.3</v>
      </c>
      <c r="X209" s="235">
        <v>902</v>
      </c>
      <c r="Y209" s="235">
        <v>1217</v>
      </c>
      <c r="Z209" s="237">
        <v>0.23899999999999999</v>
      </c>
      <c r="AA209" s="235">
        <v>142</v>
      </c>
      <c r="AB209" s="235">
        <v>61</v>
      </c>
      <c r="AC209" s="235" t="s">
        <v>566</v>
      </c>
      <c r="AD209" s="235" t="s">
        <v>566</v>
      </c>
      <c r="AE209" s="235">
        <v>0</v>
      </c>
    </row>
    <row r="210" spans="1:31" x14ac:dyDescent="0.25">
      <c r="A210" s="111">
        <v>5745</v>
      </c>
      <c r="B210" s="229" t="s">
        <v>299</v>
      </c>
      <c r="C210" s="376">
        <v>1189</v>
      </c>
      <c r="D210" s="379">
        <v>76.5</v>
      </c>
      <c r="E210" s="238">
        <v>1</v>
      </c>
      <c r="F210" s="234">
        <v>1844408.99</v>
      </c>
      <c r="G210" s="235">
        <v>226486.85</v>
      </c>
      <c r="H210" s="235">
        <v>44222.6</v>
      </c>
      <c r="I210" s="235">
        <v>4034.25</v>
      </c>
      <c r="J210" s="235">
        <v>0</v>
      </c>
      <c r="K210" s="235">
        <v>7941.54</v>
      </c>
      <c r="L210" s="235">
        <v>-15180.01</v>
      </c>
      <c r="M210" s="235"/>
      <c r="N210" s="235">
        <v>4492.6400000000003</v>
      </c>
      <c r="O210" s="235">
        <v>169266.05</v>
      </c>
      <c r="P210" s="235">
        <v>32633.47</v>
      </c>
      <c r="Q210" s="235">
        <v>0</v>
      </c>
      <c r="R210" s="235">
        <v>-654.54999999999995</v>
      </c>
      <c r="S210" s="235">
        <v>48196.6</v>
      </c>
      <c r="T210" s="235">
        <v>0</v>
      </c>
      <c r="U210" s="235">
        <v>48493.2</v>
      </c>
      <c r="V210" s="235">
        <v>245278.85</v>
      </c>
      <c r="W210" s="236">
        <f t="shared" si="3"/>
        <v>2659620.4800000009</v>
      </c>
      <c r="X210" s="235">
        <v>2229</v>
      </c>
      <c r="Y210" s="235">
        <v>1</v>
      </c>
      <c r="Z210" s="237">
        <v>0.42499999999999999</v>
      </c>
      <c r="AA210" s="235">
        <v>133</v>
      </c>
      <c r="AB210" s="235">
        <v>30</v>
      </c>
      <c r="AC210" s="235" t="s">
        <v>566</v>
      </c>
      <c r="AD210" s="235" t="s">
        <v>566</v>
      </c>
      <c r="AE210" s="235">
        <v>0</v>
      </c>
    </row>
    <row r="211" spans="1:31" x14ac:dyDescent="0.25">
      <c r="A211" s="111">
        <v>5746</v>
      </c>
      <c r="B211" s="229" t="s">
        <v>300</v>
      </c>
      <c r="C211" s="376">
        <v>1055</v>
      </c>
      <c r="D211" s="379">
        <v>72</v>
      </c>
      <c r="E211" s="238">
        <v>1.2</v>
      </c>
      <c r="F211" s="234">
        <v>2129057.48</v>
      </c>
      <c r="G211" s="235">
        <v>238125.74</v>
      </c>
      <c r="H211" s="235">
        <v>43873.599999999999</v>
      </c>
      <c r="I211" s="235">
        <v>3498.7</v>
      </c>
      <c r="J211" s="235">
        <v>0</v>
      </c>
      <c r="K211" s="235">
        <v>7457.03</v>
      </c>
      <c r="L211" s="235">
        <v>-12768.19</v>
      </c>
      <c r="M211" s="235"/>
      <c r="N211" s="235">
        <v>4410.29</v>
      </c>
      <c r="O211" s="235">
        <v>262860.7</v>
      </c>
      <c r="P211" s="235">
        <v>24335.84</v>
      </c>
      <c r="Q211" s="235">
        <v>20976</v>
      </c>
      <c r="R211" s="235">
        <v>-134.1</v>
      </c>
      <c r="S211" s="235">
        <v>186052.05</v>
      </c>
      <c r="T211" s="235">
        <v>35566.300000000003</v>
      </c>
      <c r="U211" s="235">
        <v>89012.7</v>
      </c>
      <c r="V211" s="235">
        <v>23221.9</v>
      </c>
      <c r="W211" s="236">
        <f t="shared" si="3"/>
        <v>3055546.0399999996</v>
      </c>
      <c r="X211" s="235">
        <v>923</v>
      </c>
      <c r="Y211" s="235">
        <v>0</v>
      </c>
      <c r="Z211" s="237">
        <v>6.3E-2</v>
      </c>
      <c r="AA211" s="235">
        <v>125</v>
      </c>
      <c r="AB211" s="235">
        <v>68</v>
      </c>
      <c r="AC211" s="235" t="s">
        <v>566</v>
      </c>
      <c r="AD211" s="235" t="s">
        <v>566</v>
      </c>
      <c r="AE211" s="235">
        <v>0</v>
      </c>
    </row>
    <row r="212" spans="1:31" x14ac:dyDescent="0.25">
      <c r="A212" s="111">
        <v>5747</v>
      </c>
      <c r="B212" s="229" t="s">
        <v>301</v>
      </c>
      <c r="C212" s="376">
        <v>201</v>
      </c>
      <c r="D212" s="379">
        <v>69</v>
      </c>
      <c r="E212" s="238">
        <v>1</v>
      </c>
      <c r="F212" s="234">
        <v>339794.76</v>
      </c>
      <c r="G212" s="235">
        <v>58690.11</v>
      </c>
      <c r="H212" s="235">
        <v>30776.9</v>
      </c>
      <c r="I212" s="235">
        <v>1183.2</v>
      </c>
      <c r="J212" s="235">
        <v>0</v>
      </c>
      <c r="K212" s="235">
        <v>0</v>
      </c>
      <c r="L212" s="235">
        <v>-445.55</v>
      </c>
      <c r="M212" s="235"/>
      <c r="N212" s="235">
        <v>2975.44</v>
      </c>
      <c r="O212" s="235">
        <v>35908.9</v>
      </c>
      <c r="P212" s="235">
        <v>8.5</v>
      </c>
      <c r="Q212" s="235">
        <v>0</v>
      </c>
      <c r="R212" s="235">
        <v>-16.2</v>
      </c>
      <c r="S212" s="235">
        <v>0</v>
      </c>
      <c r="T212" s="235">
        <v>213725.1</v>
      </c>
      <c r="U212" s="235">
        <v>-2266.15</v>
      </c>
      <c r="V212" s="235">
        <v>1328.9</v>
      </c>
      <c r="W212" s="236">
        <f t="shared" si="3"/>
        <v>681663.91</v>
      </c>
      <c r="X212" s="235">
        <v>416</v>
      </c>
      <c r="Y212" s="235">
        <v>0</v>
      </c>
      <c r="Z212" s="237">
        <v>2.1000000000000001E-2</v>
      </c>
      <c r="AA212" s="235">
        <v>24</v>
      </c>
      <c r="AB212" s="235">
        <v>24</v>
      </c>
      <c r="AC212" s="235" t="s">
        <v>566</v>
      </c>
      <c r="AD212" s="235" t="s">
        <v>566</v>
      </c>
      <c r="AE212" s="235">
        <v>0</v>
      </c>
    </row>
    <row r="213" spans="1:31" x14ac:dyDescent="0.25">
      <c r="A213" s="111">
        <v>5748</v>
      </c>
      <c r="B213" s="229" t="s">
        <v>302</v>
      </c>
      <c r="C213" s="376">
        <v>265</v>
      </c>
      <c r="D213" s="379">
        <v>69</v>
      </c>
      <c r="E213" s="238">
        <v>0.6</v>
      </c>
      <c r="F213" s="234">
        <v>361914.12</v>
      </c>
      <c r="G213" s="235">
        <v>41454.69</v>
      </c>
      <c r="H213" s="235">
        <v>2852.95</v>
      </c>
      <c r="I213" s="235">
        <v>1237.05</v>
      </c>
      <c r="J213" s="235">
        <v>0</v>
      </c>
      <c r="K213" s="235">
        <v>0</v>
      </c>
      <c r="L213" s="235">
        <v>-91.04</v>
      </c>
      <c r="M213" s="235"/>
      <c r="N213" s="235">
        <v>380.77</v>
      </c>
      <c r="O213" s="235">
        <v>25009.25</v>
      </c>
      <c r="P213" s="235">
        <v>-178.72</v>
      </c>
      <c r="Q213" s="235">
        <v>0</v>
      </c>
      <c r="R213" s="235">
        <v>0</v>
      </c>
      <c r="S213" s="235">
        <v>54136.3</v>
      </c>
      <c r="T213" s="235">
        <v>0</v>
      </c>
      <c r="U213" s="235">
        <v>28645.5</v>
      </c>
      <c r="V213" s="235">
        <v>11898.7</v>
      </c>
      <c r="W213" s="236">
        <f t="shared" si="3"/>
        <v>527259.57000000007</v>
      </c>
      <c r="X213" s="235">
        <v>548</v>
      </c>
      <c r="Y213" s="235">
        <v>1</v>
      </c>
      <c r="Z213" s="237">
        <v>0.13</v>
      </c>
      <c r="AA213" s="235">
        <v>43</v>
      </c>
      <c r="AB213" s="235">
        <v>43</v>
      </c>
      <c r="AC213" s="235" t="s">
        <v>566</v>
      </c>
      <c r="AD213" s="235" t="s">
        <v>566</v>
      </c>
      <c r="AE213" s="235">
        <v>0</v>
      </c>
    </row>
    <row r="214" spans="1:31" x14ac:dyDescent="0.25">
      <c r="A214" s="111">
        <v>5749</v>
      </c>
      <c r="B214" s="229" t="s">
        <v>303</v>
      </c>
      <c r="C214" s="376">
        <v>5374</v>
      </c>
      <c r="D214" s="379">
        <v>70.5</v>
      </c>
      <c r="E214" s="238">
        <v>1</v>
      </c>
      <c r="F214" s="234">
        <v>8982384.0099999998</v>
      </c>
      <c r="G214" s="235">
        <v>939432.2</v>
      </c>
      <c r="H214" s="235">
        <v>352340.16</v>
      </c>
      <c r="I214" s="235">
        <v>29055.05</v>
      </c>
      <c r="J214" s="235">
        <v>0</v>
      </c>
      <c r="K214" s="235">
        <v>46990.74</v>
      </c>
      <c r="L214" s="235">
        <v>-228735.24</v>
      </c>
      <c r="M214" s="235"/>
      <c r="N214" s="235">
        <v>35507.360000000001</v>
      </c>
      <c r="O214" s="235">
        <v>945221.05</v>
      </c>
      <c r="P214" s="235">
        <v>242556.39</v>
      </c>
      <c r="Q214" s="235">
        <v>42165.599999999999</v>
      </c>
      <c r="R214" s="235">
        <v>-8517.5</v>
      </c>
      <c r="S214" s="235">
        <v>560211.19999999995</v>
      </c>
      <c r="T214" s="235">
        <v>36401.599999999999</v>
      </c>
      <c r="U214" s="235">
        <v>453501.5</v>
      </c>
      <c r="V214" s="235">
        <v>863932.8</v>
      </c>
      <c r="W214" s="236">
        <f t="shared" si="3"/>
        <v>13292446.92</v>
      </c>
      <c r="X214" s="235">
        <v>1880</v>
      </c>
      <c r="Y214" s="235">
        <v>0</v>
      </c>
      <c r="Z214" s="237">
        <v>4.2999999999999997E-2</v>
      </c>
      <c r="AA214" s="235">
        <v>712</v>
      </c>
      <c r="AB214" s="235">
        <v>111</v>
      </c>
      <c r="AC214" s="235" t="s">
        <v>566</v>
      </c>
      <c r="AD214" s="235" t="s">
        <v>566</v>
      </c>
      <c r="AE214" s="235">
        <v>0</v>
      </c>
    </row>
    <row r="215" spans="1:31" x14ac:dyDescent="0.25">
      <c r="A215" s="111">
        <v>5750</v>
      </c>
      <c r="B215" s="229" t="s">
        <v>304</v>
      </c>
      <c r="C215" s="376">
        <v>195</v>
      </c>
      <c r="D215" s="379">
        <v>80</v>
      </c>
      <c r="E215" s="238">
        <v>0.6</v>
      </c>
      <c r="F215" s="234">
        <v>411681.76</v>
      </c>
      <c r="G215" s="235">
        <v>69051.259999999995</v>
      </c>
      <c r="H215" s="235">
        <v>1022.8</v>
      </c>
      <c r="I215" s="235">
        <v>678.7</v>
      </c>
      <c r="J215" s="235">
        <v>0</v>
      </c>
      <c r="K215" s="235">
        <v>0</v>
      </c>
      <c r="L215" s="235">
        <v>3251.94</v>
      </c>
      <c r="M215" s="235"/>
      <c r="N215" s="235">
        <v>158.41</v>
      </c>
      <c r="O215" s="235">
        <v>15498.95</v>
      </c>
      <c r="P215" s="235">
        <v>1081.68</v>
      </c>
      <c r="Q215" s="235">
        <v>4.4000000000000004</v>
      </c>
      <c r="R215" s="235">
        <v>-461.25</v>
      </c>
      <c r="S215" s="235">
        <v>6638.55</v>
      </c>
      <c r="T215" s="235">
        <v>0</v>
      </c>
      <c r="U215" s="235">
        <v>8244.9</v>
      </c>
      <c r="V215" s="235">
        <v>6434.15</v>
      </c>
      <c r="W215" s="236">
        <f t="shared" si="3"/>
        <v>523286.25000000006</v>
      </c>
      <c r="X215" s="235">
        <v>692</v>
      </c>
      <c r="Y215" s="235">
        <v>0</v>
      </c>
      <c r="Z215" s="237">
        <v>0.35199999999999998</v>
      </c>
      <c r="AA215" s="235">
        <v>23</v>
      </c>
      <c r="AB215" s="235">
        <v>23</v>
      </c>
      <c r="AC215" s="235" t="s">
        <v>566</v>
      </c>
      <c r="AD215" s="235" t="s">
        <v>566</v>
      </c>
      <c r="AE215" s="235">
        <v>0</v>
      </c>
    </row>
    <row r="216" spans="1:31" x14ac:dyDescent="0.25">
      <c r="A216" s="111">
        <v>5752</v>
      </c>
      <c r="B216" s="229" t="s">
        <v>305</v>
      </c>
      <c r="C216" s="376">
        <v>408</v>
      </c>
      <c r="D216" s="379">
        <v>74</v>
      </c>
      <c r="E216" s="238">
        <v>0.7</v>
      </c>
      <c r="F216" s="234">
        <v>686649.73</v>
      </c>
      <c r="G216" s="235">
        <v>189966.11</v>
      </c>
      <c r="H216" s="235">
        <v>1790.2</v>
      </c>
      <c r="I216" s="235">
        <v>1876</v>
      </c>
      <c r="J216" s="235">
        <v>0</v>
      </c>
      <c r="K216" s="235">
        <v>0</v>
      </c>
      <c r="L216" s="235">
        <v>-3958.51</v>
      </c>
      <c r="M216" s="235"/>
      <c r="N216" s="235">
        <v>341.32</v>
      </c>
      <c r="O216" s="235">
        <v>44974</v>
      </c>
      <c r="P216" s="235">
        <v>12188.99</v>
      </c>
      <c r="Q216" s="235">
        <v>1379.4</v>
      </c>
      <c r="R216" s="235">
        <v>-2758.15</v>
      </c>
      <c r="S216" s="235">
        <v>15586.9</v>
      </c>
      <c r="T216" s="235">
        <v>0</v>
      </c>
      <c r="U216" s="235">
        <v>16623.7</v>
      </c>
      <c r="V216" s="235">
        <v>57352.6</v>
      </c>
      <c r="W216" s="236">
        <f t="shared" si="3"/>
        <v>1022012.2899999998</v>
      </c>
      <c r="X216" s="235">
        <v>451</v>
      </c>
      <c r="Y216" s="235">
        <v>0</v>
      </c>
      <c r="Z216" s="237">
        <v>0.13500000000000001</v>
      </c>
      <c r="AA216" s="235">
        <v>42</v>
      </c>
      <c r="AB216" s="235">
        <v>35</v>
      </c>
      <c r="AC216" s="235" t="s">
        <v>566</v>
      </c>
      <c r="AD216" s="235" t="s">
        <v>566</v>
      </c>
      <c r="AE216" s="235">
        <v>0</v>
      </c>
    </row>
    <row r="217" spans="1:31" x14ac:dyDescent="0.25">
      <c r="A217" s="111">
        <v>5754</v>
      </c>
      <c r="B217" s="229" t="s">
        <v>306</v>
      </c>
      <c r="C217" s="376">
        <v>345</v>
      </c>
      <c r="D217" s="379">
        <v>79</v>
      </c>
      <c r="E217" s="238">
        <v>1</v>
      </c>
      <c r="F217" s="234">
        <v>585137.49</v>
      </c>
      <c r="G217" s="235">
        <v>83376.490000000005</v>
      </c>
      <c r="H217" s="235">
        <v>2336.85</v>
      </c>
      <c r="I217" s="235">
        <v>2095.9</v>
      </c>
      <c r="J217" s="235">
        <v>0</v>
      </c>
      <c r="K217" s="235">
        <v>0</v>
      </c>
      <c r="L217" s="235">
        <v>-7779.85</v>
      </c>
      <c r="M217" s="235"/>
      <c r="N217" s="235">
        <v>412.68</v>
      </c>
      <c r="O217" s="235">
        <v>49665.8</v>
      </c>
      <c r="P217" s="235">
        <v>4314.1499999999996</v>
      </c>
      <c r="Q217" s="235">
        <v>2096.5</v>
      </c>
      <c r="R217" s="235">
        <v>0</v>
      </c>
      <c r="S217" s="235">
        <v>33011</v>
      </c>
      <c r="T217" s="235">
        <v>19.2</v>
      </c>
      <c r="U217" s="235">
        <v>22654.35</v>
      </c>
      <c r="V217" s="235">
        <v>10878.25</v>
      </c>
      <c r="W217" s="236">
        <f t="shared" si="3"/>
        <v>788218.81</v>
      </c>
      <c r="X217" s="235">
        <v>932</v>
      </c>
      <c r="Y217" s="235">
        <v>345</v>
      </c>
      <c r="Z217" s="237">
        <v>0.152</v>
      </c>
      <c r="AA217" s="235">
        <v>37</v>
      </c>
      <c r="AB217" s="235">
        <v>27</v>
      </c>
      <c r="AC217" s="235" t="s">
        <v>566</v>
      </c>
      <c r="AD217" s="235" t="s">
        <v>566</v>
      </c>
      <c r="AE217" s="235">
        <v>0</v>
      </c>
    </row>
    <row r="218" spans="1:31" x14ac:dyDescent="0.25">
      <c r="A218" s="111">
        <v>5755</v>
      </c>
      <c r="B218" s="229" t="s">
        <v>307</v>
      </c>
      <c r="C218" s="376">
        <v>452</v>
      </c>
      <c r="D218" s="379">
        <v>78.5</v>
      </c>
      <c r="E218" s="238">
        <v>0.7</v>
      </c>
      <c r="F218" s="234">
        <v>621469.35</v>
      </c>
      <c r="G218" s="235">
        <v>80942.33</v>
      </c>
      <c r="H218" s="235">
        <v>22916.85</v>
      </c>
      <c r="I218" s="235">
        <v>215</v>
      </c>
      <c r="J218" s="235">
        <v>0</v>
      </c>
      <c r="K218" s="235">
        <v>0</v>
      </c>
      <c r="L218" s="235">
        <v>-16447.939999999999</v>
      </c>
      <c r="M218" s="235"/>
      <c r="N218" s="235">
        <v>2153.54</v>
      </c>
      <c r="O218" s="235">
        <v>53234.55</v>
      </c>
      <c r="P218" s="235">
        <v>19319.419999999998</v>
      </c>
      <c r="Q218" s="235">
        <v>4315.1000000000004</v>
      </c>
      <c r="R218" s="235">
        <v>0</v>
      </c>
      <c r="S218" s="235">
        <v>61365.55</v>
      </c>
      <c r="T218" s="235">
        <v>6314</v>
      </c>
      <c r="U218" s="235">
        <v>78673.75</v>
      </c>
      <c r="V218" s="235">
        <v>22999.7</v>
      </c>
      <c r="W218" s="236">
        <f t="shared" si="3"/>
        <v>957471.20000000007</v>
      </c>
      <c r="X218" s="235">
        <v>1060</v>
      </c>
      <c r="Y218" s="235">
        <v>452</v>
      </c>
      <c r="Z218" s="237">
        <v>0.25800000000000001</v>
      </c>
      <c r="AA218" s="235">
        <v>65</v>
      </c>
      <c r="AB218" s="235">
        <v>65</v>
      </c>
      <c r="AC218" s="235" t="s">
        <v>566</v>
      </c>
      <c r="AD218" s="235" t="s">
        <v>566</v>
      </c>
      <c r="AE218" s="235">
        <v>0</v>
      </c>
    </row>
    <row r="219" spans="1:31" x14ac:dyDescent="0.25">
      <c r="A219" s="111">
        <v>5756</v>
      </c>
      <c r="B219" s="229" t="s">
        <v>308</v>
      </c>
      <c r="C219" s="376">
        <v>494</v>
      </c>
      <c r="D219" s="379">
        <v>72</v>
      </c>
      <c r="E219" s="238">
        <v>1</v>
      </c>
      <c r="F219" s="234">
        <v>1161127.56</v>
      </c>
      <c r="G219" s="235">
        <v>259094.75</v>
      </c>
      <c r="H219" s="235">
        <v>13745.05</v>
      </c>
      <c r="I219" s="235">
        <v>939.85</v>
      </c>
      <c r="J219" s="235">
        <v>0</v>
      </c>
      <c r="K219" s="235">
        <v>2892.54</v>
      </c>
      <c r="L219" s="235">
        <v>-20611.8</v>
      </c>
      <c r="M219" s="235"/>
      <c r="N219" s="235">
        <v>1367.14</v>
      </c>
      <c r="O219" s="235">
        <v>89602.65</v>
      </c>
      <c r="P219" s="235">
        <v>-7186.66</v>
      </c>
      <c r="Q219" s="235">
        <v>212.4</v>
      </c>
      <c r="R219" s="235">
        <v>-3561.25</v>
      </c>
      <c r="S219" s="235">
        <v>11753.35</v>
      </c>
      <c r="T219" s="235">
        <v>0</v>
      </c>
      <c r="U219" s="235">
        <v>20516.099999999999</v>
      </c>
      <c r="V219" s="235">
        <v>2847.55</v>
      </c>
      <c r="W219" s="236">
        <f t="shared" si="3"/>
        <v>1532739.2300000002</v>
      </c>
      <c r="X219" s="235">
        <v>299</v>
      </c>
      <c r="Y219" s="235">
        <v>0</v>
      </c>
      <c r="Z219" s="237">
        <v>0.128</v>
      </c>
      <c r="AA219" s="235">
        <v>60</v>
      </c>
      <c r="AB219" s="235">
        <v>1</v>
      </c>
      <c r="AC219" s="235" t="s">
        <v>566</v>
      </c>
      <c r="AD219" s="235" t="s">
        <v>566</v>
      </c>
      <c r="AE219" s="235">
        <v>0</v>
      </c>
    </row>
    <row r="220" spans="1:31" x14ac:dyDescent="0.25">
      <c r="A220" s="111">
        <v>5757</v>
      </c>
      <c r="B220" s="229" t="s">
        <v>309</v>
      </c>
      <c r="C220" s="376">
        <v>8008</v>
      </c>
      <c r="D220" s="379">
        <v>75.5</v>
      </c>
      <c r="E220" s="238">
        <v>1</v>
      </c>
      <c r="F220" s="234">
        <v>13075796.560000001</v>
      </c>
      <c r="G220" s="235">
        <v>1174370.03</v>
      </c>
      <c r="H220" s="235">
        <v>1492536.05</v>
      </c>
      <c r="I220" s="235">
        <v>122052.9</v>
      </c>
      <c r="J220" s="235">
        <v>0</v>
      </c>
      <c r="K220" s="235">
        <v>190176.05</v>
      </c>
      <c r="L220" s="235">
        <v>-457432.85</v>
      </c>
      <c r="M220" s="235"/>
      <c r="N220" s="235">
        <v>150315.96</v>
      </c>
      <c r="O220" s="235">
        <v>1600785.75</v>
      </c>
      <c r="P220" s="235">
        <v>673905.54</v>
      </c>
      <c r="Q220" s="235">
        <v>195063.15</v>
      </c>
      <c r="R220" s="235">
        <v>-3087.4</v>
      </c>
      <c r="S220" s="235">
        <v>683056.85</v>
      </c>
      <c r="T220" s="235">
        <v>27288.3</v>
      </c>
      <c r="U220" s="235">
        <v>191974.2</v>
      </c>
      <c r="V220" s="235">
        <v>3697129.85</v>
      </c>
      <c r="W220" s="236">
        <f t="shared" si="3"/>
        <v>22813930.940000005</v>
      </c>
      <c r="X220" s="235">
        <v>1162</v>
      </c>
      <c r="Y220" s="235">
        <v>0</v>
      </c>
      <c r="Z220" s="237">
        <v>4.4999999999999998E-2</v>
      </c>
      <c r="AA220" s="235">
        <v>1020</v>
      </c>
      <c r="AB220" s="235">
        <v>118</v>
      </c>
      <c r="AC220" s="235">
        <v>343624</v>
      </c>
      <c r="AD220" s="235">
        <v>13294.599999999977</v>
      </c>
      <c r="AE220" s="235">
        <v>0</v>
      </c>
    </row>
    <row r="221" spans="1:31" x14ac:dyDescent="0.25">
      <c r="A221" s="111">
        <v>5758</v>
      </c>
      <c r="B221" s="229" t="s">
        <v>310</v>
      </c>
      <c r="C221" s="376">
        <v>214</v>
      </c>
      <c r="D221" s="379">
        <v>83</v>
      </c>
      <c r="E221" s="238">
        <v>1</v>
      </c>
      <c r="F221" s="234">
        <v>359630.44</v>
      </c>
      <c r="G221" s="235">
        <v>44322.65</v>
      </c>
      <c r="H221" s="235">
        <v>2797.1</v>
      </c>
      <c r="I221" s="235">
        <v>2353</v>
      </c>
      <c r="J221" s="235">
        <v>0</v>
      </c>
      <c r="K221" s="235">
        <v>0</v>
      </c>
      <c r="L221" s="235">
        <v>-3287.9</v>
      </c>
      <c r="M221" s="235"/>
      <c r="N221" s="235">
        <v>479.47</v>
      </c>
      <c r="O221" s="235">
        <v>35098.199999999997</v>
      </c>
      <c r="P221" s="235">
        <v>10130.61</v>
      </c>
      <c r="Q221" s="235">
        <v>0</v>
      </c>
      <c r="R221" s="235">
        <v>-86.95</v>
      </c>
      <c r="S221" s="235">
        <v>11100.3</v>
      </c>
      <c r="T221" s="235">
        <v>0</v>
      </c>
      <c r="U221" s="235">
        <v>26110.3</v>
      </c>
      <c r="V221" s="235">
        <v>0</v>
      </c>
      <c r="W221" s="236">
        <f t="shared" si="3"/>
        <v>488647.21999999991</v>
      </c>
      <c r="X221" s="235">
        <v>511</v>
      </c>
      <c r="Y221" s="235">
        <v>214</v>
      </c>
      <c r="Z221" s="237">
        <v>0.217</v>
      </c>
      <c r="AA221" s="235">
        <v>24</v>
      </c>
      <c r="AB221" s="235">
        <v>24</v>
      </c>
      <c r="AC221" s="235" t="s">
        <v>566</v>
      </c>
      <c r="AD221" s="235" t="s">
        <v>566</v>
      </c>
      <c r="AE221" s="235">
        <v>0</v>
      </c>
    </row>
    <row r="222" spans="1:31" x14ac:dyDescent="0.25">
      <c r="A222" s="111">
        <v>5759</v>
      </c>
      <c r="B222" s="229" t="s">
        <v>311</v>
      </c>
      <c r="C222" s="376">
        <v>233</v>
      </c>
      <c r="D222" s="379">
        <v>79.5</v>
      </c>
      <c r="E222" s="238">
        <v>1</v>
      </c>
      <c r="F222" s="234">
        <v>330460.53999999998</v>
      </c>
      <c r="G222" s="235">
        <v>46618.95</v>
      </c>
      <c r="H222" s="235">
        <v>9036.9500000000007</v>
      </c>
      <c r="I222" s="235">
        <v>1053.1500000000001</v>
      </c>
      <c r="J222" s="235">
        <v>0</v>
      </c>
      <c r="K222" s="235">
        <v>37.67</v>
      </c>
      <c r="L222" s="235">
        <v>-10242.77</v>
      </c>
      <c r="M222" s="235"/>
      <c r="N222" s="235">
        <v>939.37</v>
      </c>
      <c r="O222" s="235">
        <v>35561.699999999997</v>
      </c>
      <c r="P222" s="235">
        <v>3356.5</v>
      </c>
      <c r="Q222" s="235">
        <v>289.45</v>
      </c>
      <c r="R222" s="235">
        <v>-538.6</v>
      </c>
      <c r="S222" s="235">
        <v>13453</v>
      </c>
      <c r="T222" s="235">
        <v>0</v>
      </c>
      <c r="U222" s="235">
        <v>11585.95</v>
      </c>
      <c r="V222" s="235">
        <v>2522.35</v>
      </c>
      <c r="W222" s="236">
        <f t="shared" si="3"/>
        <v>444134.21</v>
      </c>
      <c r="X222" s="235">
        <v>605</v>
      </c>
      <c r="Y222" s="235">
        <v>233</v>
      </c>
      <c r="Z222" s="237">
        <v>0.20899999999999999</v>
      </c>
      <c r="AA222" s="235">
        <v>34</v>
      </c>
      <c r="AB222" s="235">
        <v>34</v>
      </c>
      <c r="AC222" s="235" t="s">
        <v>566</v>
      </c>
      <c r="AD222" s="235" t="s">
        <v>566</v>
      </c>
      <c r="AE222" s="235">
        <v>0</v>
      </c>
    </row>
    <row r="223" spans="1:31" x14ac:dyDescent="0.25">
      <c r="A223" s="111">
        <v>5760</v>
      </c>
      <c r="B223" s="229" t="s">
        <v>312</v>
      </c>
      <c r="C223" s="376">
        <v>513</v>
      </c>
      <c r="D223" s="379">
        <v>76.5</v>
      </c>
      <c r="E223" s="238">
        <v>1</v>
      </c>
      <c r="F223" s="234">
        <v>681135.75</v>
      </c>
      <c r="G223" s="235">
        <v>96599.49</v>
      </c>
      <c r="H223" s="235">
        <v>9063.2999999999993</v>
      </c>
      <c r="I223" s="235">
        <v>3495.3</v>
      </c>
      <c r="J223" s="235">
        <v>0</v>
      </c>
      <c r="K223" s="235">
        <v>8075.08</v>
      </c>
      <c r="L223" s="235">
        <v>-30055.85</v>
      </c>
      <c r="M223" s="235"/>
      <c r="N223" s="235">
        <v>1169.19</v>
      </c>
      <c r="O223" s="235">
        <v>87897.5</v>
      </c>
      <c r="P223" s="235">
        <v>8386.27</v>
      </c>
      <c r="Q223" s="235">
        <v>0</v>
      </c>
      <c r="R223" s="235">
        <v>-1852.45</v>
      </c>
      <c r="S223" s="235">
        <v>10246.6</v>
      </c>
      <c r="T223" s="235">
        <v>3412.8</v>
      </c>
      <c r="U223" s="235">
        <v>6389.35</v>
      </c>
      <c r="V223" s="235">
        <v>30982.5</v>
      </c>
      <c r="W223" s="236">
        <f t="shared" si="3"/>
        <v>914944.83000000007</v>
      </c>
      <c r="X223" s="235">
        <v>982</v>
      </c>
      <c r="Y223" s="235">
        <v>0</v>
      </c>
      <c r="Z223" s="237">
        <v>0.26900000000000002</v>
      </c>
      <c r="AA223" s="235">
        <v>54</v>
      </c>
      <c r="AB223" s="235">
        <v>38</v>
      </c>
      <c r="AC223" s="235" t="s">
        <v>566</v>
      </c>
      <c r="AD223" s="235" t="s">
        <v>566</v>
      </c>
      <c r="AE223" s="235">
        <v>0</v>
      </c>
    </row>
    <row r="224" spans="1:31" x14ac:dyDescent="0.25">
      <c r="A224" s="111">
        <v>5761</v>
      </c>
      <c r="B224" s="229" t="s">
        <v>313</v>
      </c>
      <c r="C224" s="376">
        <v>579</v>
      </c>
      <c r="D224" s="379">
        <v>81</v>
      </c>
      <c r="E224" s="238">
        <v>1.1000000000000001</v>
      </c>
      <c r="F224" s="234">
        <v>852286.25</v>
      </c>
      <c r="G224" s="235">
        <v>151121.44</v>
      </c>
      <c r="H224" s="235">
        <v>8469.65</v>
      </c>
      <c r="I224" s="235">
        <v>2588.5</v>
      </c>
      <c r="J224" s="235">
        <v>0</v>
      </c>
      <c r="K224" s="235">
        <v>0</v>
      </c>
      <c r="L224" s="235">
        <v>-5039.37</v>
      </c>
      <c r="M224" s="235"/>
      <c r="N224" s="235">
        <v>1029.5</v>
      </c>
      <c r="O224" s="235">
        <v>102235.95</v>
      </c>
      <c r="P224" s="235">
        <v>9035.32</v>
      </c>
      <c r="Q224" s="235">
        <v>5328.6</v>
      </c>
      <c r="R224" s="235">
        <v>-41.1</v>
      </c>
      <c r="S224" s="235">
        <v>42933.65</v>
      </c>
      <c r="T224" s="235">
        <v>50250</v>
      </c>
      <c r="U224" s="235">
        <v>28948.400000000001</v>
      </c>
      <c r="V224" s="235">
        <v>87592.5</v>
      </c>
      <c r="W224" s="236">
        <f t="shared" si="3"/>
        <v>1336739.2899999998</v>
      </c>
      <c r="X224" s="235">
        <v>696</v>
      </c>
      <c r="Y224" s="235">
        <v>7</v>
      </c>
      <c r="Z224" s="237">
        <v>0.19400000000000001</v>
      </c>
      <c r="AA224" s="235">
        <v>63</v>
      </c>
      <c r="AB224" s="235">
        <v>52</v>
      </c>
      <c r="AC224" s="235" t="s">
        <v>566</v>
      </c>
      <c r="AD224" s="235" t="s">
        <v>566</v>
      </c>
      <c r="AE224" s="235">
        <v>0</v>
      </c>
    </row>
    <row r="225" spans="1:31" x14ac:dyDescent="0.25">
      <c r="A225" s="111">
        <v>5762</v>
      </c>
      <c r="B225" s="229" t="s">
        <v>314</v>
      </c>
      <c r="C225" s="376">
        <v>165</v>
      </c>
      <c r="D225" s="379">
        <v>76</v>
      </c>
      <c r="E225" s="238">
        <v>1</v>
      </c>
      <c r="F225" s="234">
        <v>294664.75</v>
      </c>
      <c r="G225" s="235">
        <v>37809.49</v>
      </c>
      <c r="H225" s="235">
        <v>20326.3</v>
      </c>
      <c r="I225" s="235">
        <v>1009.4</v>
      </c>
      <c r="J225" s="235">
        <v>0</v>
      </c>
      <c r="K225" s="235">
        <v>2481.52</v>
      </c>
      <c r="L225" s="235">
        <v>-2537.58</v>
      </c>
      <c r="M225" s="235"/>
      <c r="N225" s="235">
        <v>1986.32</v>
      </c>
      <c r="O225" s="235">
        <v>22877.65</v>
      </c>
      <c r="P225" s="235">
        <v>3833.87</v>
      </c>
      <c r="Q225" s="235">
        <v>-41.5</v>
      </c>
      <c r="R225" s="235">
        <v>0</v>
      </c>
      <c r="S225" s="235">
        <v>4988.2</v>
      </c>
      <c r="T225" s="235">
        <v>0</v>
      </c>
      <c r="U225" s="235">
        <v>13703.1</v>
      </c>
      <c r="V225" s="235">
        <v>0</v>
      </c>
      <c r="W225" s="236">
        <f t="shared" si="3"/>
        <v>401101.52</v>
      </c>
      <c r="X225" s="235">
        <v>147</v>
      </c>
      <c r="Y225" s="235">
        <v>0</v>
      </c>
      <c r="Z225" s="237">
        <v>0.06</v>
      </c>
      <c r="AA225" s="235">
        <v>18</v>
      </c>
      <c r="AB225" s="235">
        <v>7</v>
      </c>
      <c r="AC225" s="235" t="s">
        <v>566</v>
      </c>
      <c r="AD225" s="235" t="s">
        <v>566</v>
      </c>
      <c r="AE225" s="235">
        <v>0</v>
      </c>
    </row>
    <row r="226" spans="1:31" x14ac:dyDescent="0.25">
      <c r="A226" s="111">
        <v>5763</v>
      </c>
      <c r="B226" s="229" t="s">
        <v>315</v>
      </c>
      <c r="C226" s="376">
        <v>573</v>
      </c>
      <c r="D226" s="379">
        <v>71</v>
      </c>
      <c r="E226" s="238">
        <v>1</v>
      </c>
      <c r="F226" s="234">
        <v>788822.4</v>
      </c>
      <c r="G226" s="235">
        <v>212617.94</v>
      </c>
      <c r="H226" s="235">
        <v>8603.25</v>
      </c>
      <c r="I226" s="235">
        <v>8800.7000000000007</v>
      </c>
      <c r="J226" s="235">
        <v>0</v>
      </c>
      <c r="K226" s="235">
        <v>2159.56</v>
      </c>
      <c r="L226" s="235">
        <v>-3676.31</v>
      </c>
      <c r="M226" s="235"/>
      <c r="N226" s="235">
        <v>1620.28</v>
      </c>
      <c r="O226" s="235">
        <v>97874.9</v>
      </c>
      <c r="P226" s="235">
        <v>9754.7999999999993</v>
      </c>
      <c r="Q226" s="235">
        <v>4579.6499999999996</v>
      </c>
      <c r="R226" s="235">
        <v>-16.149999999999999</v>
      </c>
      <c r="S226" s="235">
        <v>49280.7</v>
      </c>
      <c r="T226" s="235">
        <v>39250</v>
      </c>
      <c r="U226" s="235">
        <v>11296.25</v>
      </c>
      <c r="V226" s="235">
        <v>71687.55</v>
      </c>
      <c r="W226" s="236">
        <f t="shared" si="3"/>
        <v>1302655.52</v>
      </c>
      <c r="X226" s="235">
        <v>630</v>
      </c>
      <c r="Y226" s="235">
        <v>0</v>
      </c>
      <c r="Z226" s="237">
        <v>3.4000000000000002E-2</v>
      </c>
      <c r="AA226" s="235">
        <v>80</v>
      </c>
      <c r="AB226" s="235">
        <v>60</v>
      </c>
      <c r="AC226" s="235" t="s">
        <v>566</v>
      </c>
      <c r="AD226" s="235" t="s">
        <v>566</v>
      </c>
      <c r="AE226" s="235">
        <v>0</v>
      </c>
    </row>
    <row r="227" spans="1:31" x14ac:dyDescent="0.25">
      <c r="A227" s="111">
        <v>5764</v>
      </c>
      <c r="B227" s="229" t="s">
        <v>316</v>
      </c>
      <c r="C227" s="376">
        <v>4434</v>
      </c>
      <c r="D227" s="379">
        <v>70</v>
      </c>
      <c r="E227" s="238">
        <v>1</v>
      </c>
      <c r="F227" s="234">
        <v>4826490.8600000003</v>
      </c>
      <c r="G227" s="235">
        <v>566265.31000000006</v>
      </c>
      <c r="H227" s="235">
        <v>388559.65</v>
      </c>
      <c r="I227" s="235">
        <v>64696.4</v>
      </c>
      <c r="J227" s="235">
        <v>0</v>
      </c>
      <c r="K227" s="235">
        <v>80698.33</v>
      </c>
      <c r="L227" s="235">
        <v>-191435.79</v>
      </c>
      <c r="M227" s="235"/>
      <c r="N227" s="235">
        <v>42197.5</v>
      </c>
      <c r="O227" s="235">
        <v>613939.9</v>
      </c>
      <c r="P227" s="235">
        <v>415143</v>
      </c>
      <c r="Q227" s="235">
        <v>67751.850000000006</v>
      </c>
      <c r="R227" s="235">
        <v>-924.45</v>
      </c>
      <c r="S227" s="235">
        <v>450790</v>
      </c>
      <c r="T227" s="235">
        <v>1481035.7</v>
      </c>
      <c r="U227" s="235">
        <v>287066.25</v>
      </c>
      <c r="V227" s="235">
        <v>2632478</v>
      </c>
      <c r="W227" s="236">
        <f t="shared" si="3"/>
        <v>11724752.51</v>
      </c>
      <c r="X227" s="235">
        <v>2279</v>
      </c>
      <c r="Y227" s="235">
        <v>4434</v>
      </c>
      <c r="Z227" s="237">
        <v>0.48199999999999998</v>
      </c>
      <c r="AA227" s="235">
        <v>594</v>
      </c>
      <c r="AB227" s="235">
        <v>20</v>
      </c>
      <c r="AC227" s="235" t="s">
        <v>566</v>
      </c>
      <c r="AD227" s="235" t="s">
        <v>566</v>
      </c>
      <c r="AE227" s="235">
        <v>0</v>
      </c>
    </row>
    <row r="228" spans="1:31" x14ac:dyDescent="0.25">
      <c r="A228" s="111">
        <v>5765</v>
      </c>
      <c r="B228" s="229" t="s">
        <v>317</v>
      </c>
      <c r="C228" s="376">
        <v>500</v>
      </c>
      <c r="D228" s="379">
        <v>81</v>
      </c>
      <c r="E228" s="238">
        <v>0.5</v>
      </c>
      <c r="F228" s="234">
        <v>594170.13</v>
      </c>
      <c r="G228" s="235">
        <v>85692.43</v>
      </c>
      <c r="H228" s="235">
        <v>16818.8</v>
      </c>
      <c r="I228" s="235">
        <v>824.25</v>
      </c>
      <c r="J228" s="235">
        <v>0</v>
      </c>
      <c r="K228" s="235">
        <v>5432.36</v>
      </c>
      <c r="L228" s="235">
        <v>-13081.53</v>
      </c>
      <c r="M228" s="235"/>
      <c r="N228" s="235">
        <v>1642.54</v>
      </c>
      <c r="O228" s="235">
        <v>35581.35</v>
      </c>
      <c r="P228" s="235">
        <v>30245.61</v>
      </c>
      <c r="Q228" s="235">
        <v>0</v>
      </c>
      <c r="R228" s="235">
        <v>-89</v>
      </c>
      <c r="S228" s="235">
        <v>36915.300000000003</v>
      </c>
      <c r="T228" s="235">
        <v>25068.2</v>
      </c>
      <c r="U228" s="235">
        <v>24972.75</v>
      </c>
      <c r="V228" s="235">
        <v>82005.45</v>
      </c>
      <c r="W228" s="236">
        <f t="shared" si="3"/>
        <v>926198.64</v>
      </c>
      <c r="X228" s="235">
        <v>1315</v>
      </c>
      <c r="Y228" s="235">
        <v>500</v>
      </c>
      <c r="Z228" s="237">
        <v>0.26900000000000002</v>
      </c>
      <c r="AA228" s="235">
        <v>63</v>
      </c>
      <c r="AB228" s="235">
        <v>29</v>
      </c>
      <c r="AC228" s="235" t="s">
        <v>566</v>
      </c>
      <c r="AD228" s="235" t="s">
        <v>566</v>
      </c>
      <c r="AE228" s="235">
        <v>0</v>
      </c>
    </row>
    <row r="229" spans="1:31" x14ac:dyDescent="0.25">
      <c r="A229" s="111">
        <v>5766</v>
      </c>
      <c r="B229" s="229" t="s">
        <v>318</v>
      </c>
      <c r="C229" s="376">
        <v>616</v>
      </c>
      <c r="D229" s="379">
        <v>75</v>
      </c>
      <c r="E229" s="238">
        <v>0.7</v>
      </c>
      <c r="F229" s="234">
        <v>869022.51</v>
      </c>
      <c r="G229" s="235">
        <v>120705.65</v>
      </c>
      <c r="H229" s="235">
        <v>-9159.75</v>
      </c>
      <c r="I229" s="235">
        <v>3484.45</v>
      </c>
      <c r="J229" s="235">
        <v>0</v>
      </c>
      <c r="K229" s="235">
        <v>4890</v>
      </c>
      <c r="L229" s="235">
        <v>-10415.11</v>
      </c>
      <c r="M229" s="235"/>
      <c r="N229" s="235">
        <v>-528.36</v>
      </c>
      <c r="O229" s="235">
        <v>70762.95</v>
      </c>
      <c r="P229" s="235">
        <v>30512.35</v>
      </c>
      <c r="Q229" s="235">
        <v>13709.8</v>
      </c>
      <c r="R229" s="235">
        <v>-71.2</v>
      </c>
      <c r="S229" s="235">
        <v>12008.75</v>
      </c>
      <c r="T229" s="235">
        <v>1504.8</v>
      </c>
      <c r="U229" s="235">
        <v>32914</v>
      </c>
      <c r="V229" s="235">
        <v>42421</v>
      </c>
      <c r="W229" s="236">
        <f t="shared" si="3"/>
        <v>1181761.8400000003</v>
      </c>
      <c r="X229" s="235">
        <v>509</v>
      </c>
      <c r="Y229" s="235">
        <v>0</v>
      </c>
      <c r="Z229" s="237">
        <v>0.217</v>
      </c>
      <c r="AA229" s="235">
        <v>70</v>
      </c>
      <c r="AB229" s="235">
        <v>70</v>
      </c>
      <c r="AC229" s="235" t="s">
        <v>566</v>
      </c>
      <c r="AD229" s="235" t="s">
        <v>566</v>
      </c>
      <c r="AE229" s="235">
        <v>0</v>
      </c>
    </row>
    <row r="230" spans="1:31" x14ac:dyDescent="0.25">
      <c r="A230" s="111">
        <v>5785</v>
      </c>
      <c r="B230" s="229" t="s">
        <v>319</v>
      </c>
      <c r="C230" s="376">
        <v>495</v>
      </c>
      <c r="D230" s="379">
        <v>75</v>
      </c>
      <c r="E230" s="238">
        <v>1</v>
      </c>
      <c r="F230" s="234">
        <v>1050240.33</v>
      </c>
      <c r="G230" s="235">
        <v>210207.62</v>
      </c>
      <c r="H230" s="235">
        <v>-16137.4</v>
      </c>
      <c r="I230" s="235">
        <v>2926.1</v>
      </c>
      <c r="J230" s="235">
        <v>0</v>
      </c>
      <c r="K230" s="235">
        <v>623.55999999999995</v>
      </c>
      <c r="L230" s="235">
        <v>-9955.7900000000009</v>
      </c>
      <c r="M230" s="235"/>
      <c r="N230" s="235">
        <v>-1229.95</v>
      </c>
      <c r="O230" s="235">
        <v>91544.8</v>
      </c>
      <c r="P230" s="235">
        <v>30897.45</v>
      </c>
      <c r="Q230" s="235">
        <v>1393.6</v>
      </c>
      <c r="R230" s="235">
        <v>-7911.2</v>
      </c>
      <c r="S230" s="235">
        <v>63999.15</v>
      </c>
      <c r="T230" s="235">
        <v>64950</v>
      </c>
      <c r="U230" s="235">
        <v>14085.95</v>
      </c>
      <c r="V230" s="235">
        <v>0</v>
      </c>
      <c r="W230" s="236">
        <f t="shared" si="3"/>
        <v>1495634.2200000004</v>
      </c>
      <c r="X230" s="235">
        <v>793</v>
      </c>
      <c r="Y230" s="235">
        <v>495</v>
      </c>
      <c r="Z230" s="237">
        <v>6.6000000000000003E-2</v>
      </c>
      <c r="AA230" s="235">
        <v>60</v>
      </c>
      <c r="AB230" s="235">
        <v>60</v>
      </c>
      <c r="AC230" s="235" t="s">
        <v>566</v>
      </c>
      <c r="AD230" s="235" t="s">
        <v>566</v>
      </c>
      <c r="AE230" s="235">
        <v>0</v>
      </c>
    </row>
    <row r="231" spans="1:31" x14ac:dyDescent="0.25">
      <c r="A231" s="111">
        <v>5790</v>
      </c>
      <c r="B231" s="229" t="s">
        <v>320</v>
      </c>
      <c r="C231" s="376">
        <v>565</v>
      </c>
      <c r="D231" s="379">
        <v>74.5</v>
      </c>
      <c r="E231" s="238">
        <v>1</v>
      </c>
      <c r="F231" s="234">
        <v>1033696.4</v>
      </c>
      <c r="G231" s="235">
        <v>170937.82</v>
      </c>
      <c r="H231" s="235">
        <v>18240.599999999999</v>
      </c>
      <c r="I231" s="235">
        <v>871.05</v>
      </c>
      <c r="J231" s="235">
        <v>0</v>
      </c>
      <c r="K231" s="235">
        <v>1037.67</v>
      </c>
      <c r="L231" s="235">
        <v>-5023.8999999999996</v>
      </c>
      <c r="M231" s="235"/>
      <c r="N231" s="235">
        <v>1779.27</v>
      </c>
      <c r="O231" s="235">
        <v>104687.75</v>
      </c>
      <c r="P231" s="235">
        <v>1427.19</v>
      </c>
      <c r="Q231" s="235">
        <v>1468.6</v>
      </c>
      <c r="R231" s="235">
        <v>-2235.75</v>
      </c>
      <c r="S231" s="235">
        <v>14355</v>
      </c>
      <c r="T231" s="235">
        <v>4431.8999999999996</v>
      </c>
      <c r="U231" s="235">
        <v>11297.05</v>
      </c>
      <c r="V231" s="235">
        <v>66.099999999999994</v>
      </c>
      <c r="W231" s="236">
        <f t="shared" si="3"/>
        <v>1357036.7500000002</v>
      </c>
      <c r="X231" s="235">
        <v>428</v>
      </c>
      <c r="Y231" s="235">
        <v>565</v>
      </c>
      <c r="Z231" s="237">
        <v>6.6000000000000003E-2</v>
      </c>
      <c r="AA231" s="235">
        <v>72</v>
      </c>
      <c r="AB231" s="235">
        <v>72</v>
      </c>
      <c r="AC231" s="235" t="s">
        <v>566</v>
      </c>
      <c r="AD231" s="235" t="s">
        <v>566</v>
      </c>
      <c r="AE231" s="235">
        <v>0</v>
      </c>
    </row>
    <row r="232" spans="1:31" x14ac:dyDescent="0.25">
      <c r="A232" s="111">
        <v>5792</v>
      </c>
      <c r="B232" s="229" t="s">
        <v>321</v>
      </c>
      <c r="C232" s="376">
        <v>670</v>
      </c>
      <c r="D232" s="379">
        <v>74.5</v>
      </c>
      <c r="E232" s="238">
        <v>1</v>
      </c>
      <c r="F232" s="234">
        <v>1284287.3899999999</v>
      </c>
      <c r="G232" s="235">
        <v>218345</v>
      </c>
      <c r="H232" s="235">
        <v>16291.4</v>
      </c>
      <c r="I232" s="235">
        <v>2689</v>
      </c>
      <c r="J232" s="235">
        <v>0</v>
      </c>
      <c r="K232" s="235">
        <v>0</v>
      </c>
      <c r="L232" s="235">
        <v>-2231.5</v>
      </c>
      <c r="M232" s="235"/>
      <c r="N232" s="235">
        <v>1767.05</v>
      </c>
      <c r="O232" s="235">
        <v>124957.9</v>
      </c>
      <c r="P232" s="235">
        <v>31672.92</v>
      </c>
      <c r="Q232" s="235">
        <v>1716.5</v>
      </c>
      <c r="R232" s="235">
        <v>-132.75</v>
      </c>
      <c r="S232" s="235">
        <v>152155.29999999999</v>
      </c>
      <c r="T232" s="235">
        <v>290244.2</v>
      </c>
      <c r="U232" s="235">
        <v>95722.75</v>
      </c>
      <c r="V232" s="235">
        <v>5476.05</v>
      </c>
      <c r="W232" s="236">
        <f t="shared" si="3"/>
        <v>2222961.2099999995</v>
      </c>
      <c r="X232" s="235">
        <v>414</v>
      </c>
      <c r="Y232" s="235">
        <v>670</v>
      </c>
      <c r="Z232" s="237">
        <v>9.5000000000000001E-2</v>
      </c>
      <c r="AA232" s="235">
        <v>62</v>
      </c>
      <c r="AB232" s="235">
        <v>62</v>
      </c>
      <c r="AC232" s="235" t="s">
        <v>566</v>
      </c>
      <c r="AD232" s="235" t="s">
        <v>566</v>
      </c>
      <c r="AE232" s="235">
        <v>0</v>
      </c>
    </row>
    <row r="233" spans="1:31" x14ac:dyDescent="0.25">
      <c r="A233" s="111">
        <v>5798</v>
      </c>
      <c r="B233" s="229" t="s">
        <v>322</v>
      </c>
      <c r="C233" s="376">
        <v>535</v>
      </c>
      <c r="D233" s="379">
        <v>77.5</v>
      </c>
      <c r="E233" s="238">
        <v>1</v>
      </c>
      <c r="F233" s="234">
        <v>994303.78</v>
      </c>
      <c r="G233" s="235">
        <v>106873.08</v>
      </c>
      <c r="H233" s="235">
        <v>17495.45</v>
      </c>
      <c r="I233" s="235">
        <v>4326.8500000000004</v>
      </c>
      <c r="J233" s="235">
        <v>0</v>
      </c>
      <c r="K233" s="235">
        <v>2598.54</v>
      </c>
      <c r="L233" s="235">
        <v>-15776.86</v>
      </c>
      <c r="M233" s="235"/>
      <c r="N233" s="235">
        <v>2031.63</v>
      </c>
      <c r="O233" s="235">
        <v>104038.3</v>
      </c>
      <c r="P233" s="235">
        <v>39089.760000000002</v>
      </c>
      <c r="Q233" s="235">
        <v>11231.3</v>
      </c>
      <c r="R233" s="235">
        <v>-298</v>
      </c>
      <c r="S233" s="235">
        <v>42227.9</v>
      </c>
      <c r="T233" s="235">
        <v>104.5</v>
      </c>
      <c r="U233" s="235">
        <v>71538.899999999994</v>
      </c>
      <c r="V233" s="235">
        <v>40958.199999999997</v>
      </c>
      <c r="W233" s="236">
        <f t="shared" si="3"/>
        <v>1420743.3299999998</v>
      </c>
      <c r="X233" s="235">
        <v>474</v>
      </c>
      <c r="Y233" s="235">
        <v>403</v>
      </c>
      <c r="Z233" s="237">
        <v>0.123</v>
      </c>
      <c r="AA233" s="235">
        <v>75</v>
      </c>
      <c r="AB233" s="235">
        <v>60</v>
      </c>
      <c r="AC233" s="235" t="s">
        <v>566</v>
      </c>
      <c r="AD233" s="235" t="s">
        <v>566</v>
      </c>
      <c r="AE233" s="235">
        <v>0</v>
      </c>
    </row>
    <row r="234" spans="1:31" x14ac:dyDescent="0.25">
      <c r="A234" s="111">
        <v>5799</v>
      </c>
      <c r="B234" s="229" t="s">
        <v>323</v>
      </c>
      <c r="C234" s="376">
        <v>2241</v>
      </c>
      <c r="D234" s="379">
        <v>69</v>
      </c>
      <c r="E234" s="238">
        <v>1</v>
      </c>
      <c r="F234" s="234">
        <v>4407966.7699999996</v>
      </c>
      <c r="G234" s="235">
        <v>629881.36</v>
      </c>
      <c r="H234" s="235">
        <v>83301.149999999994</v>
      </c>
      <c r="I234" s="235">
        <v>8697.2999999999993</v>
      </c>
      <c r="J234" s="235">
        <v>0</v>
      </c>
      <c r="K234" s="235">
        <v>3281.56</v>
      </c>
      <c r="L234" s="235">
        <v>-132319.57999999999</v>
      </c>
      <c r="M234" s="235"/>
      <c r="N234" s="235">
        <v>8564.93</v>
      </c>
      <c r="O234" s="235">
        <v>469101.65</v>
      </c>
      <c r="P234" s="235">
        <v>83966.21</v>
      </c>
      <c r="Q234" s="235">
        <v>18072.099999999999</v>
      </c>
      <c r="R234" s="235">
        <v>-761.91</v>
      </c>
      <c r="S234" s="235">
        <v>152330.9</v>
      </c>
      <c r="T234" s="235">
        <v>2283.3000000000002</v>
      </c>
      <c r="U234" s="235">
        <v>174448.05</v>
      </c>
      <c r="V234" s="235">
        <v>40137.949999999997</v>
      </c>
      <c r="W234" s="236">
        <f t="shared" si="3"/>
        <v>5948951.7399999993</v>
      </c>
      <c r="X234" s="235">
        <v>628</v>
      </c>
      <c r="Y234" s="235">
        <v>2241</v>
      </c>
      <c r="Z234" s="237">
        <v>6.7000000000000004E-2</v>
      </c>
      <c r="AA234" s="235">
        <v>304</v>
      </c>
      <c r="AB234" s="235">
        <v>196</v>
      </c>
      <c r="AC234" s="235" t="s">
        <v>566</v>
      </c>
      <c r="AD234" s="235" t="s">
        <v>566</v>
      </c>
      <c r="AE234" s="235">
        <v>0</v>
      </c>
    </row>
    <row r="235" spans="1:31" x14ac:dyDescent="0.25">
      <c r="A235" s="111">
        <v>5803</v>
      </c>
      <c r="B235" s="229" t="s">
        <v>324</v>
      </c>
      <c r="C235" s="376">
        <v>630</v>
      </c>
      <c r="D235" s="379">
        <v>74</v>
      </c>
      <c r="E235" s="238">
        <v>1</v>
      </c>
      <c r="F235" s="234">
        <v>1167011.3799999999</v>
      </c>
      <c r="G235" s="235">
        <v>186143.12</v>
      </c>
      <c r="H235" s="235">
        <v>8586.1</v>
      </c>
      <c r="I235" s="235">
        <v>3522.75</v>
      </c>
      <c r="J235" s="235">
        <v>0</v>
      </c>
      <c r="K235" s="235">
        <v>10051.6</v>
      </c>
      <c r="L235" s="235">
        <v>-37408.51</v>
      </c>
      <c r="M235" s="235"/>
      <c r="N235" s="235">
        <v>1127.32</v>
      </c>
      <c r="O235" s="235">
        <v>115601</v>
      </c>
      <c r="P235" s="235">
        <v>26087.58</v>
      </c>
      <c r="Q235" s="235">
        <v>0</v>
      </c>
      <c r="R235" s="235">
        <v>-877.75</v>
      </c>
      <c r="S235" s="235">
        <v>61771.05</v>
      </c>
      <c r="T235" s="235">
        <v>765.2</v>
      </c>
      <c r="U235" s="235">
        <v>40724.199999999997</v>
      </c>
      <c r="V235" s="235">
        <v>1566.55</v>
      </c>
      <c r="W235" s="236">
        <f t="shared" si="3"/>
        <v>1584671.5900000003</v>
      </c>
      <c r="X235" s="235">
        <v>653</v>
      </c>
      <c r="Y235" s="235">
        <v>39</v>
      </c>
      <c r="Z235" s="237">
        <v>0.111</v>
      </c>
      <c r="AA235" s="235">
        <v>82</v>
      </c>
      <c r="AB235" s="235">
        <v>67</v>
      </c>
      <c r="AC235" s="235" t="s">
        <v>566</v>
      </c>
      <c r="AD235" s="235" t="s">
        <v>566</v>
      </c>
      <c r="AE235" s="235">
        <v>0</v>
      </c>
    </row>
    <row r="236" spans="1:31" x14ac:dyDescent="0.25">
      <c r="A236" s="111">
        <v>5804</v>
      </c>
      <c r="B236" s="229" t="s">
        <v>325</v>
      </c>
      <c r="C236" s="376">
        <v>1564</v>
      </c>
      <c r="D236" s="379">
        <v>70.5</v>
      </c>
      <c r="E236" s="238">
        <v>1</v>
      </c>
      <c r="F236" s="234">
        <v>2682856.85</v>
      </c>
      <c r="G236" s="235">
        <v>406891.48</v>
      </c>
      <c r="H236" s="235">
        <v>46254.15</v>
      </c>
      <c r="I236" s="235">
        <v>2708.2</v>
      </c>
      <c r="J236" s="235">
        <v>0</v>
      </c>
      <c r="K236" s="235">
        <v>4569.2299999999996</v>
      </c>
      <c r="L236" s="235">
        <v>-37349.620000000003</v>
      </c>
      <c r="M236" s="235"/>
      <c r="N236" s="235">
        <v>4558.33</v>
      </c>
      <c r="O236" s="235">
        <v>291767.15000000002</v>
      </c>
      <c r="P236" s="235">
        <v>49283.86</v>
      </c>
      <c r="Q236" s="235">
        <v>4043.95</v>
      </c>
      <c r="R236" s="235">
        <v>-4010</v>
      </c>
      <c r="S236" s="235">
        <v>149350.5</v>
      </c>
      <c r="T236" s="235">
        <v>5247</v>
      </c>
      <c r="U236" s="235">
        <v>122652.05</v>
      </c>
      <c r="V236" s="235">
        <v>21030.3</v>
      </c>
      <c r="W236" s="236">
        <f t="shared" si="3"/>
        <v>3749853.4299999997</v>
      </c>
      <c r="X236" s="235">
        <v>1768</v>
      </c>
      <c r="Y236" s="235">
        <v>1535</v>
      </c>
      <c r="Z236" s="237">
        <v>9.5000000000000001E-2</v>
      </c>
      <c r="AA236" s="235">
        <v>196</v>
      </c>
      <c r="AB236" s="235">
        <v>195</v>
      </c>
      <c r="AC236" s="235" t="s">
        <v>566</v>
      </c>
      <c r="AD236" s="235" t="s">
        <v>566</v>
      </c>
      <c r="AE236" s="235">
        <v>0</v>
      </c>
    </row>
    <row r="237" spans="1:31" x14ac:dyDescent="0.25">
      <c r="A237" s="111">
        <v>5805</v>
      </c>
      <c r="B237" s="229" t="s">
        <v>326</v>
      </c>
      <c r="C237" s="376">
        <v>6451</v>
      </c>
      <c r="D237" s="379">
        <v>69</v>
      </c>
      <c r="E237" s="238">
        <v>1.1000000000000001</v>
      </c>
      <c r="F237" s="234">
        <v>9439407.0299999993</v>
      </c>
      <c r="G237" s="235">
        <v>1256246.43</v>
      </c>
      <c r="H237" s="235">
        <v>236400</v>
      </c>
      <c r="I237" s="235">
        <v>22289.3</v>
      </c>
      <c r="J237" s="235">
        <v>41205.050000000003</v>
      </c>
      <c r="K237" s="235">
        <v>77519.009999999995</v>
      </c>
      <c r="L237" s="235">
        <v>-226997.49</v>
      </c>
      <c r="M237" s="235"/>
      <c r="N237" s="235">
        <v>24083.61</v>
      </c>
      <c r="O237" s="235">
        <v>1398905.2</v>
      </c>
      <c r="P237" s="235">
        <v>268234.52</v>
      </c>
      <c r="Q237" s="235">
        <v>81623.100000000006</v>
      </c>
      <c r="R237" s="235">
        <v>-2222.1</v>
      </c>
      <c r="S237" s="235">
        <v>893517</v>
      </c>
      <c r="T237" s="235">
        <v>131932.4</v>
      </c>
      <c r="U237" s="235">
        <v>677068.7</v>
      </c>
      <c r="V237" s="235">
        <v>115875.55</v>
      </c>
      <c r="W237" s="236">
        <f t="shared" si="3"/>
        <v>14435087.309999999</v>
      </c>
      <c r="X237" s="235">
        <v>2616</v>
      </c>
      <c r="Y237" s="235">
        <v>1059</v>
      </c>
      <c r="Z237" s="237">
        <v>5.5E-2</v>
      </c>
      <c r="AA237" s="235">
        <v>850</v>
      </c>
      <c r="AB237" s="235">
        <v>312</v>
      </c>
      <c r="AC237" s="235" t="s">
        <v>566</v>
      </c>
      <c r="AD237" s="235" t="s">
        <v>566</v>
      </c>
      <c r="AE237" s="235">
        <v>0</v>
      </c>
    </row>
    <row r="238" spans="1:31" x14ac:dyDescent="0.25">
      <c r="A238" s="111">
        <v>5806</v>
      </c>
      <c r="B238" s="229" t="s">
        <v>327</v>
      </c>
      <c r="C238" s="376">
        <v>3209</v>
      </c>
      <c r="D238" s="379">
        <v>71</v>
      </c>
      <c r="E238" s="238">
        <v>1</v>
      </c>
      <c r="F238" s="234">
        <v>5618420.1600000001</v>
      </c>
      <c r="G238" s="235">
        <v>722401.43</v>
      </c>
      <c r="H238" s="235">
        <v>195280.2</v>
      </c>
      <c r="I238" s="235">
        <v>10940.8</v>
      </c>
      <c r="J238" s="235">
        <v>52354.65</v>
      </c>
      <c r="K238" s="235">
        <v>19569.169999999998</v>
      </c>
      <c r="L238" s="235">
        <v>-48519.29</v>
      </c>
      <c r="M238" s="235"/>
      <c r="N238" s="235">
        <v>19198.89</v>
      </c>
      <c r="O238" s="235">
        <v>627283</v>
      </c>
      <c r="P238" s="235">
        <v>93436.63</v>
      </c>
      <c r="Q238" s="235">
        <v>40158.550000000003</v>
      </c>
      <c r="R238" s="235">
        <v>-5396.4</v>
      </c>
      <c r="S238" s="235">
        <v>217520.35</v>
      </c>
      <c r="T238" s="235">
        <v>132141.79999999999</v>
      </c>
      <c r="U238" s="235">
        <v>245903.55</v>
      </c>
      <c r="V238" s="235">
        <v>43116.35</v>
      </c>
      <c r="W238" s="236">
        <f t="shared" si="3"/>
        <v>7983809.839999998</v>
      </c>
      <c r="X238" s="235">
        <v>1112</v>
      </c>
      <c r="Y238" s="235">
        <v>2018</v>
      </c>
      <c r="Z238" s="237">
        <v>5.1999999999999998E-2</v>
      </c>
      <c r="AA238" s="235">
        <v>427</v>
      </c>
      <c r="AB238" s="235">
        <v>28</v>
      </c>
      <c r="AC238" s="235" t="s">
        <v>566</v>
      </c>
      <c r="AD238" s="235" t="s">
        <v>566</v>
      </c>
      <c r="AE238" s="235">
        <v>0</v>
      </c>
    </row>
    <row r="239" spans="1:31" x14ac:dyDescent="0.25">
      <c r="A239" s="111">
        <v>5812</v>
      </c>
      <c r="B239" s="229" t="s">
        <v>328</v>
      </c>
      <c r="C239" s="376">
        <v>184</v>
      </c>
      <c r="D239" s="379">
        <v>77</v>
      </c>
      <c r="E239" s="238">
        <v>0.8</v>
      </c>
      <c r="F239" s="234">
        <v>259231.86</v>
      </c>
      <c r="G239" s="235">
        <v>25943.200000000001</v>
      </c>
      <c r="H239" s="235">
        <v>3490.25</v>
      </c>
      <c r="I239" s="235">
        <v>526.79999999999995</v>
      </c>
      <c r="J239" s="235">
        <v>0</v>
      </c>
      <c r="K239" s="235">
        <v>64.239999999999995</v>
      </c>
      <c r="L239" s="235">
        <v>-7018.41</v>
      </c>
      <c r="M239" s="235"/>
      <c r="N239" s="235">
        <v>373.98</v>
      </c>
      <c r="O239" s="235">
        <v>21367</v>
      </c>
      <c r="P239" s="235">
        <v>3627.21</v>
      </c>
      <c r="Q239" s="235">
        <v>894.75</v>
      </c>
      <c r="R239" s="235">
        <v>-71.25</v>
      </c>
      <c r="S239" s="235">
        <v>16060</v>
      </c>
      <c r="T239" s="235">
        <v>0</v>
      </c>
      <c r="U239" s="235">
        <v>16803.45</v>
      </c>
      <c r="V239" s="235">
        <v>0</v>
      </c>
      <c r="W239" s="236">
        <f t="shared" si="3"/>
        <v>341293.08</v>
      </c>
      <c r="X239" s="235">
        <v>302</v>
      </c>
      <c r="Y239" s="235">
        <v>0</v>
      </c>
      <c r="Z239" s="237">
        <v>2.1000000000000001E-2</v>
      </c>
      <c r="AA239" s="235">
        <v>36</v>
      </c>
      <c r="AB239" s="235">
        <v>36</v>
      </c>
      <c r="AC239" s="235" t="s">
        <v>566</v>
      </c>
      <c r="AD239" s="235" t="s">
        <v>566</v>
      </c>
      <c r="AE239" s="235">
        <v>0</v>
      </c>
    </row>
    <row r="240" spans="1:31" x14ac:dyDescent="0.25">
      <c r="A240" s="111">
        <v>5813</v>
      </c>
      <c r="B240" s="229" t="s">
        <v>329</v>
      </c>
      <c r="C240" s="376">
        <v>487</v>
      </c>
      <c r="D240" s="379">
        <v>68.5</v>
      </c>
      <c r="E240" s="238">
        <v>1.2</v>
      </c>
      <c r="F240" s="234">
        <v>1171559.17</v>
      </c>
      <c r="G240" s="235">
        <v>140333.82999999999</v>
      </c>
      <c r="H240" s="235">
        <v>29867.5</v>
      </c>
      <c r="I240" s="235">
        <v>520.20000000000005</v>
      </c>
      <c r="J240" s="235">
        <v>0</v>
      </c>
      <c r="K240" s="235">
        <v>516.03</v>
      </c>
      <c r="L240" s="235">
        <v>-7165.85</v>
      </c>
      <c r="M240" s="235"/>
      <c r="N240" s="235">
        <v>2829.05</v>
      </c>
      <c r="O240" s="235">
        <v>128185.15</v>
      </c>
      <c r="P240" s="235">
        <v>5835.09</v>
      </c>
      <c r="Q240" s="235">
        <v>0</v>
      </c>
      <c r="R240" s="235">
        <v>0</v>
      </c>
      <c r="S240" s="235">
        <v>102995.75</v>
      </c>
      <c r="T240" s="235">
        <v>76492.800000000003</v>
      </c>
      <c r="U240" s="235">
        <v>55233.85</v>
      </c>
      <c r="V240" s="235">
        <v>2556.9499999999998</v>
      </c>
      <c r="W240" s="236">
        <f t="shared" si="3"/>
        <v>1709759.52</v>
      </c>
      <c r="X240" s="235">
        <v>335</v>
      </c>
      <c r="Y240" s="235">
        <v>0</v>
      </c>
      <c r="Z240" s="237">
        <v>2.4E-2</v>
      </c>
      <c r="AA240" s="235">
        <v>60</v>
      </c>
      <c r="AB240" s="235">
        <v>60</v>
      </c>
      <c r="AC240" s="235" t="s">
        <v>566</v>
      </c>
      <c r="AD240" s="235" t="s">
        <v>566</v>
      </c>
      <c r="AE240" s="235">
        <v>0</v>
      </c>
    </row>
    <row r="241" spans="1:31" x14ac:dyDescent="0.25">
      <c r="A241" s="111">
        <v>5816</v>
      </c>
      <c r="B241" s="229" t="s">
        <v>330</v>
      </c>
      <c r="C241" s="376">
        <v>3129</v>
      </c>
      <c r="D241" s="379">
        <v>65</v>
      </c>
      <c r="E241" s="238">
        <v>0.7</v>
      </c>
      <c r="F241" s="234">
        <v>3457357.46</v>
      </c>
      <c r="G241" s="235">
        <v>390523.24</v>
      </c>
      <c r="H241" s="235">
        <v>183025.85</v>
      </c>
      <c r="I241" s="235">
        <v>20078.25</v>
      </c>
      <c r="J241" s="235">
        <v>0</v>
      </c>
      <c r="K241" s="235">
        <v>10140.41</v>
      </c>
      <c r="L241" s="235">
        <v>-106722.39</v>
      </c>
      <c r="M241" s="235"/>
      <c r="N241" s="235">
        <v>18908.71</v>
      </c>
      <c r="O241" s="235">
        <v>330150.40000000002</v>
      </c>
      <c r="P241" s="235">
        <v>218812.55</v>
      </c>
      <c r="Q241" s="235">
        <v>29555.05</v>
      </c>
      <c r="R241" s="235">
        <v>-167.9</v>
      </c>
      <c r="S241" s="235">
        <v>352624.7</v>
      </c>
      <c r="T241" s="235">
        <v>58753.1</v>
      </c>
      <c r="U241" s="235">
        <v>299306.15000000002</v>
      </c>
      <c r="V241" s="235">
        <v>63260.85</v>
      </c>
      <c r="W241" s="236">
        <f t="shared" si="3"/>
        <v>5325606.43</v>
      </c>
      <c r="X241" s="235">
        <v>1188</v>
      </c>
      <c r="Y241" s="235">
        <v>0</v>
      </c>
      <c r="Z241" s="237">
        <v>2.3E-2</v>
      </c>
      <c r="AA241" s="235">
        <v>426</v>
      </c>
      <c r="AB241" s="235">
        <v>64</v>
      </c>
      <c r="AC241" s="235" t="s">
        <v>566</v>
      </c>
      <c r="AD241" s="235" t="s">
        <v>566</v>
      </c>
      <c r="AE241" s="235">
        <v>0</v>
      </c>
    </row>
    <row r="242" spans="1:31" x14ac:dyDescent="0.25">
      <c r="A242" s="111">
        <v>5817</v>
      </c>
      <c r="B242" s="229" t="s">
        <v>331</v>
      </c>
      <c r="C242" s="376">
        <v>970</v>
      </c>
      <c r="D242" s="379">
        <v>72</v>
      </c>
      <c r="E242" s="238">
        <v>1</v>
      </c>
      <c r="F242" s="234">
        <v>1393144.07</v>
      </c>
      <c r="G242" s="235">
        <v>184744.42</v>
      </c>
      <c r="H242" s="235">
        <v>30977.1</v>
      </c>
      <c r="I242" s="235">
        <v>2585.65</v>
      </c>
      <c r="J242" s="235">
        <v>0</v>
      </c>
      <c r="K242" s="235">
        <v>0</v>
      </c>
      <c r="L242" s="235">
        <v>-22791.84</v>
      </c>
      <c r="M242" s="235"/>
      <c r="N242" s="235">
        <v>3124.64</v>
      </c>
      <c r="O242" s="235">
        <v>149542.65</v>
      </c>
      <c r="P242" s="235">
        <v>47950.71</v>
      </c>
      <c r="Q242" s="235">
        <v>9063.15</v>
      </c>
      <c r="R242" s="235">
        <v>-122.1</v>
      </c>
      <c r="S242" s="235">
        <v>66399.649999999994</v>
      </c>
      <c r="T242" s="235">
        <v>57101.5</v>
      </c>
      <c r="U242" s="235">
        <v>70348.600000000006</v>
      </c>
      <c r="V242" s="235">
        <v>8951.65</v>
      </c>
      <c r="W242" s="236">
        <f t="shared" si="3"/>
        <v>2001019.8499999994</v>
      </c>
      <c r="X242" s="235">
        <v>1016</v>
      </c>
      <c r="Y242" s="235">
        <v>0</v>
      </c>
      <c r="Z242" s="237">
        <v>1.4E-2</v>
      </c>
      <c r="AA242" s="235">
        <v>136</v>
      </c>
      <c r="AB242" s="235">
        <v>96</v>
      </c>
      <c r="AC242" s="235" t="s">
        <v>566</v>
      </c>
      <c r="AD242" s="235" t="s">
        <v>566</v>
      </c>
      <c r="AE242" s="235">
        <v>0</v>
      </c>
    </row>
    <row r="243" spans="1:31" x14ac:dyDescent="0.25">
      <c r="A243" s="111">
        <v>5819</v>
      </c>
      <c r="B243" s="229" t="s">
        <v>332</v>
      </c>
      <c r="C243" s="376">
        <v>464</v>
      </c>
      <c r="D243" s="379">
        <v>69</v>
      </c>
      <c r="E243" s="238">
        <v>1</v>
      </c>
      <c r="F243" s="234">
        <v>633092.22</v>
      </c>
      <c r="G243" s="235">
        <v>196240.06</v>
      </c>
      <c r="H243" s="235">
        <v>32501.9</v>
      </c>
      <c r="I243" s="235">
        <v>5808.75</v>
      </c>
      <c r="J243" s="235">
        <v>0</v>
      </c>
      <c r="K243" s="235">
        <v>18092.400000000001</v>
      </c>
      <c r="L243" s="235">
        <v>-112325.37</v>
      </c>
      <c r="M243" s="235"/>
      <c r="N243" s="235">
        <v>3566.67</v>
      </c>
      <c r="O243" s="235">
        <v>105245.27</v>
      </c>
      <c r="P243" s="235">
        <v>12069.22</v>
      </c>
      <c r="Q243" s="235">
        <v>2259.15</v>
      </c>
      <c r="R243" s="235">
        <v>-94.65</v>
      </c>
      <c r="S243" s="235">
        <v>8667.35</v>
      </c>
      <c r="T243" s="235">
        <v>0</v>
      </c>
      <c r="U243" s="235">
        <v>14739.8</v>
      </c>
      <c r="V243" s="235">
        <v>6201.35</v>
      </c>
      <c r="W243" s="236">
        <f t="shared" si="3"/>
        <v>926064.12000000011</v>
      </c>
      <c r="X243" s="235">
        <v>252</v>
      </c>
      <c r="Y243" s="235">
        <v>0</v>
      </c>
      <c r="Z243" s="237">
        <v>0.107</v>
      </c>
      <c r="AA243" s="235">
        <v>70</v>
      </c>
      <c r="AB243" s="235">
        <v>70</v>
      </c>
      <c r="AC243" s="235" t="s">
        <v>566</v>
      </c>
      <c r="AD243" s="235" t="s">
        <v>566</v>
      </c>
      <c r="AE243" s="235">
        <v>0</v>
      </c>
    </row>
    <row r="244" spans="1:31" x14ac:dyDescent="0.25">
      <c r="A244" s="111">
        <v>5821</v>
      </c>
      <c r="B244" s="229" t="s">
        <v>333</v>
      </c>
      <c r="C244" s="376">
        <v>379</v>
      </c>
      <c r="D244" s="379">
        <v>69</v>
      </c>
      <c r="E244" s="238">
        <v>1</v>
      </c>
      <c r="F244" s="234">
        <v>501688.86</v>
      </c>
      <c r="G244" s="235">
        <v>72533.070000000007</v>
      </c>
      <c r="H244" s="235">
        <v>6046.9</v>
      </c>
      <c r="I244" s="235">
        <v>1247.1500000000001</v>
      </c>
      <c r="J244" s="235">
        <v>0</v>
      </c>
      <c r="K244" s="235">
        <v>0</v>
      </c>
      <c r="L244" s="235">
        <v>-13213.06</v>
      </c>
      <c r="M244" s="235"/>
      <c r="N244" s="235">
        <v>679.07</v>
      </c>
      <c r="O244" s="235">
        <v>55814.6</v>
      </c>
      <c r="P244" s="235">
        <v>17590.46</v>
      </c>
      <c r="Q244" s="235">
        <v>1460</v>
      </c>
      <c r="R244" s="235">
        <v>-53.95</v>
      </c>
      <c r="S244" s="235">
        <v>44968.7</v>
      </c>
      <c r="T244" s="235">
        <v>0</v>
      </c>
      <c r="U244" s="235">
        <v>25576.400000000001</v>
      </c>
      <c r="V244" s="235">
        <v>0</v>
      </c>
      <c r="W244" s="236">
        <f t="shared" si="3"/>
        <v>714338.19999999984</v>
      </c>
      <c r="X244" s="235">
        <v>301</v>
      </c>
      <c r="Y244" s="235">
        <v>0</v>
      </c>
      <c r="Z244" s="237">
        <v>0.02</v>
      </c>
      <c r="AA244" s="235">
        <v>64</v>
      </c>
      <c r="AB244" s="235">
        <v>64</v>
      </c>
      <c r="AC244" s="235" t="s">
        <v>566</v>
      </c>
      <c r="AD244" s="235" t="s">
        <v>566</v>
      </c>
      <c r="AE244" s="235">
        <v>0</v>
      </c>
    </row>
    <row r="245" spans="1:31" x14ac:dyDescent="0.25">
      <c r="A245" s="111">
        <v>5822</v>
      </c>
      <c r="B245" s="229" t="s">
        <v>104</v>
      </c>
      <c r="C245" s="376">
        <v>10972</v>
      </c>
      <c r="D245" s="379">
        <v>70</v>
      </c>
      <c r="E245" s="238">
        <v>1</v>
      </c>
      <c r="F245" s="234">
        <v>12502391.800000001</v>
      </c>
      <c r="G245" s="235">
        <v>1499607.85</v>
      </c>
      <c r="H245" s="235">
        <v>1173061.7</v>
      </c>
      <c r="I245" s="235">
        <v>74919</v>
      </c>
      <c r="J245" s="235">
        <v>0</v>
      </c>
      <c r="K245" s="235">
        <v>124148.82</v>
      </c>
      <c r="L245" s="235">
        <v>-519176.57999999996</v>
      </c>
      <c r="M245" s="235"/>
      <c r="N245" s="235">
        <v>116185.25</v>
      </c>
      <c r="O245" s="235">
        <v>1741289.15</v>
      </c>
      <c r="P245" s="235">
        <v>934648.48</v>
      </c>
      <c r="Q245" s="235">
        <v>34846.699999999997</v>
      </c>
      <c r="R245" s="235">
        <v>-1932.3</v>
      </c>
      <c r="S245" s="235">
        <v>1404733.2</v>
      </c>
      <c r="T245" s="235">
        <v>186924.2</v>
      </c>
      <c r="U245" s="235">
        <v>470439.4</v>
      </c>
      <c r="V245" s="235">
        <v>328790.7</v>
      </c>
      <c r="W245" s="236">
        <f t="shared" si="3"/>
        <v>20070877.369999994</v>
      </c>
      <c r="X245" s="235">
        <v>2376</v>
      </c>
      <c r="Y245" s="235">
        <v>0</v>
      </c>
      <c r="Z245" s="237">
        <v>3.1E-2</v>
      </c>
      <c r="AA245" s="235">
        <v>1441</v>
      </c>
      <c r="AB245" s="235">
        <v>36</v>
      </c>
      <c r="AC245" s="235">
        <v>643891</v>
      </c>
      <c r="AD245" s="235">
        <v>0</v>
      </c>
      <c r="AE245" s="235">
        <v>0</v>
      </c>
    </row>
    <row r="246" spans="1:31" x14ac:dyDescent="0.25">
      <c r="A246" s="111">
        <v>5827</v>
      </c>
      <c r="B246" s="229" t="s">
        <v>334</v>
      </c>
      <c r="C246" s="376">
        <v>305</v>
      </c>
      <c r="D246" s="379">
        <v>78</v>
      </c>
      <c r="E246" s="238">
        <v>1</v>
      </c>
      <c r="F246" s="234">
        <v>532845.63</v>
      </c>
      <c r="G246" s="235">
        <v>66536.789999999994</v>
      </c>
      <c r="H246" s="235">
        <v>8060.8</v>
      </c>
      <c r="I246" s="235">
        <v>1456.05</v>
      </c>
      <c r="J246" s="235">
        <v>0</v>
      </c>
      <c r="K246" s="235">
        <v>0</v>
      </c>
      <c r="L246" s="235">
        <v>-19810.84</v>
      </c>
      <c r="M246" s="235"/>
      <c r="N246" s="235">
        <v>886.01</v>
      </c>
      <c r="O246" s="235">
        <v>48146.7</v>
      </c>
      <c r="P246" s="235">
        <v>10134.370000000001</v>
      </c>
      <c r="Q246" s="235">
        <v>1659.35</v>
      </c>
      <c r="R246" s="235">
        <v>0</v>
      </c>
      <c r="S246" s="235">
        <v>9155.2999999999993</v>
      </c>
      <c r="T246" s="235">
        <v>37753.599999999999</v>
      </c>
      <c r="U246" s="235">
        <v>2843.3</v>
      </c>
      <c r="V246" s="235">
        <v>0</v>
      </c>
      <c r="W246" s="236">
        <f t="shared" si="3"/>
        <v>699667.06000000017</v>
      </c>
      <c r="X246" s="235">
        <v>372</v>
      </c>
      <c r="Y246" s="235">
        <v>0</v>
      </c>
      <c r="Z246" s="237">
        <v>7.1999999999999995E-2</v>
      </c>
      <c r="AA246" s="235">
        <v>35</v>
      </c>
      <c r="AB246" s="235">
        <v>35</v>
      </c>
      <c r="AC246" s="235" t="s">
        <v>566</v>
      </c>
      <c r="AD246" s="235" t="s">
        <v>566</v>
      </c>
      <c r="AE246" s="235">
        <v>0</v>
      </c>
    </row>
    <row r="247" spans="1:31" x14ac:dyDescent="0.25">
      <c r="A247" s="111">
        <v>5828</v>
      </c>
      <c r="B247" s="229" t="s">
        <v>335</v>
      </c>
      <c r="C247" s="376">
        <v>108</v>
      </c>
      <c r="D247" s="379">
        <v>81.5</v>
      </c>
      <c r="E247" s="238">
        <v>1.5</v>
      </c>
      <c r="F247" s="234">
        <v>189714.39</v>
      </c>
      <c r="G247" s="235">
        <v>76480.61</v>
      </c>
      <c r="H247" s="235">
        <v>-34.799999999999997</v>
      </c>
      <c r="I247" s="235">
        <v>923.45</v>
      </c>
      <c r="J247" s="235">
        <v>0</v>
      </c>
      <c r="K247" s="235">
        <v>1736.93</v>
      </c>
      <c r="L247" s="235">
        <v>-1907.78</v>
      </c>
      <c r="M247" s="235"/>
      <c r="N247" s="235">
        <v>82.73</v>
      </c>
      <c r="O247" s="235">
        <v>29128.799999999999</v>
      </c>
      <c r="P247" s="235">
        <v>0</v>
      </c>
      <c r="Q247" s="235">
        <v>0</v>
      </c>
      <c r="R247" s="235">
        <v>-145.15</v>
      </c>
      <c r="S247" s="235">
        <v>3052.5</v>
      </c>
      <c r="T247" s="235">
        <v>32</v>
      </c>
      <c r="U247" s="235">
        <v>14511.45</v>
      </c>
      <c r="V247" s="235">
        <v>0</v>
      </c>
      <c r="W247" s="236">
        <f t="shared" si="3"/>
        <v>313575.12999999995</v>
      </c>
      <c r="X247" s="235">
        <v>310</v>
      </c>
      <c r="Y247" s="235">
        <v>0</v>
      </c>
      <c r="Z247" s="237">
        <v>0.04</v>
      </c>
      <c r="AA247" s="235">
        <v>7</v>
      </c>
      <c r="AB247" s="235">
        <v>6</v>
      </c>
      <c r="AC247" s="235" t="s">
        <v>566</v>
      </c>
      <c r="AD247" s="235" t="s">
        <v>566</v>
      </c>
      <c r="AE247" s="235">
        <v>0</v>
      </c>
    </row>
    <row r="248" spans="1:31" x14ac:dyDescent="0.25">
      <c r="A248" s="111">
        <v>5830</v>
      </c>
      <c r="B248" s="229" t="s">
        <v>336</v>
      </c>
      <c r="C248" s="376">
        <v>522</v>
      </c>
      <c r="D248" s="379">
        <v>75</v>
      </c>
      <c r="E248" s="238">
        <v>1</v>
      </c>
      <c r="F248" s="234">
        <v>828635.36</v>
      </c>
      <c r="G248" s="235">
        <v>143066.85</v>
      </c>
      <c r="H248" s="235">
        <v>3589.5</v>
      </c>
      <c r="I248" s="235">
        <v>1088.05</v>
      </c>
      <c r="J248" s="235">
        <v>0</v>
      </c>
      <c r="K248" s="235">
        <v>0</v>
      </c>
      <c r="L248" s="235">
        <v>-18834.8</v>
      </c>
      <c r="M248" s="235"/>
      <c r="N248" s="235">
        <v>435.47</v>
      </c>
      <c r="O248" s="235">
        <v>72664.399999999994</v>
      </c>
      <c r="P248" s="235">
        <v>17290.55</v>
      </c>
      <c r="Q248" s="235">
        <v>1561.7</v>
      </c>
      <c r="R248" s="235">
        <v>-55.75</v>
      </c>
      <c r="S248" s="235">
        <v>70932.3</v>
      </c>
      <c r="T248" s="235">
        <v>0</v>
      </c>
      <c r="U248" s="235">
        <v>30170.15</v>
      </c>
      <c r="V248" s="235">
        <v>6245.55</v>
      </c>
      <c r="W248" s="236">
        <f t="shared" si="3"/>
        <v>1156789.33</v>
      </c>
      <c r="X248" s="235">
        <v>769</v>
      </c>
      <c r="Y248" s="235">
        <v>28</v>
      </c>
      <c r="Z248" s="237">
        <v>9.1999999999999998E-2</v>
      </c>
      <c r="AA248" s="235">
        <v>72</v>
      </c>
      <c r="AB248" s="235">
        <v>72</v>
      </c>
      <c r="AC248" s="235" t="s">
        <v>566</v>
      </c>
      <c r="AD248" s="235" t="s">
        <v>566</v>
      </c>
      <c r="AE248" s="235">
        <v>0</v>
      </c>
    </row>
    <row r="249" spans="1:31" x14ac:dyDescent="0.25">
      <c r="A249" s="111">
        <v>5831</v>
      </c>
      <c r="B249" s="229" t="s">
        <v>337</v>
      </c>
      <c r="C249" s="376">
        <v>3416</v>
      </c>
      <c r="D249" s="379">
        <v>70.5</v>
      </c>
      <c r="E249" s="238">
        <v>0.6</v>
      </c>
      <c r="F249" s="234">
        <v>4938826.58</v>
      </c>
      <c r="G249" s="235">
        <v>748374.14</v>
      </c>
      <c r="H249" s="235">
        <v>328471.34999999998</v>
      </c>
      <c r="I249" s="235">
        <v>15517.8</v>
      </c>
      <c r="J249" s="235">
        <v>0</v>
      </c>
      <c r="K249" s="235">
        <v>18070.91</v>
      </c>
      <c r="L249" s="235">
        <v>-89081.78</v>
      </c>
      <c r="M249" s="235"/>
      <c r="N249" s="235">
        <v>32024.91</v>
      </c>
      <c r="O249" s="235">
        <v>343361.05</v>
      </c>
      <c r="P249" s="235">
        <v>187925.14</v>
      </c>
      <c r="Q249" s="235">
        <v>37229.800000000003</v>
      </c>
      <c r="R249" s="235">
        <v>-2176.1999999999998</v>
      </c>
      <c r="S249" s="235">
        <v>263375.8</v>
      </c>
      <c r="T249" s="235">
        <v>25884.6</v>
      </c>
      <c r="U249" s="235">
        <v>178840.55</v>
      </c>
      <c r="V249" s="235">
        <v>52345.2</v>
      </c>
      <c r="W249" s="236">
        <f t="shared" si="3"/>
        <v>7078989.8499999978</v>
      </c>
      <c r="X249" s="235">
        <v>3335</v>
      </c>
      <c r="Y249" s="235">
        <v>115</v>
      </c>
      <c r="Z249" s="237">
        <v>7.2999999999999995E-2</v>
      </c>
      <c r="AA249" s="235">
        <v>447</v>
      </c>
      <c r="AB249" s="235">
        <v>267</v>
      </c>
      <c r="AC249" s="235" t="s">
        <v>566</v>
      </c>
      <c r="AD249" s="235" t="s">
        <v>566</v>
      </c>
      <c r="AE249" s="235">
        <v>0</v>
      </c>
    </row>
    <row r="250" spans="1:31" x14ac:dyDescent="0.25">
      <c r="A250" s="111">
        <v>5841</v>
      </c>
      <c r="B250" s="229" t="s">
        <v>101</v>
      </c>
      <c r="C250" s="376">
        <v>3689</v>
      </c>
      <c r="D250" s="379">
        <v>81.5</v>
      </c>
      <c r="E250" s="238">
        <v>1.5</v>
      </c>
      <c r="F250" s="234">
        <v>5969318.5700000003</v>
      </c>
      <c r="G250" s="235">
        <v>2139091.52</v>
      </c>
      <c r="H250" s="235">
        <v>338943.85</v>
      </c>
      <c r="I250" s="235">
        <v>-2494.85</v>
      </c>
      <c r="J250" s="235">
        <v>787830.3</v>
      </c>
      <c r="K250" s="235">
        <v>17642.39</v>
      </c>
      <c r="L250" s="235">
        <v>-51831.58</v>
      </c>
      <c r="M250" s="235"/>
      <c r="N250" s="235">
        <v>31322.93</v>
      </c>
      <c r="O250" s="235">
        <v>1693208.05</v>
      </c>
      <c r="P250" s="235">
        <v>521789.34</v>
      </c>
      <c r="Q250" s="235">
        <v>35873.75</v>
      </c>
      <c r="R250" s="235">
        <v>-10120.299999999999</v>
      </c>
      <c r="S250" s="235">
        <v>527569.05000000005</v>
      </c>
      <c r="T250" s="235">
        <v>528079</v>
      </c>
      <c r="U250" s="235">
        <v>542062</v>
      </c>
      <c r="V250" s="235">
        <v>11865.95</v>
      </c>
      <c r="W250" s="236">
        <f t="shared" si="3"/>
        <v>13080149.970000001</v>
      </c>
      <c r="X250" s="235">
        <v>9537</v>
      </c>
      <c r="Y250" s="235">
        <v>3689</v>
      </c>
      <c r="Z250" s="237">
        <v>0.70499999999999996</v>
      </c>
      <c r="AA250" s="235">
        <v>410</v>
      </c>
      <c r="AB250" s="235">
        <v>224</v>
      </c>
      <c r="AC250" s="235" t="s">
        <v>566</v>
      </c>
      <c r="AD250" s="235" t="s">
        <v>566</v>
      </c>
      <c r="AE250" s="235">
        <v>0</v>
      </c>
    </row>
    <row r="251" spans="1:31" x14ac:dyDescent="0.25">
      <c r="A251" s="111">
        <v>5842</v>
      </c>
      <c r="B251" s="229" t="s">
        <v>338</v>
      </c>
      <c r="C251" s="376">
        <v>504</v>
      </c>
      <c r="D251" s="379">
        <v>81</v>
      </c>
      <c r="E251" s="238">
        <v>1.5</v>
      </c>
      <c r="F251" s="234">
        <v>835502.38</v>
      </c>
      <c r="G251" s="235">
        <v>237477.83</v>
      </c>
      <c r="H251" s="235">
        <v>17291.2</v>
      </c>
      <c r="I251" s="235">
        <v>419.2</v>
      </c>
      <c r="J251" s="235">
        <v>46417.1</v>
      </c>
      <c r="K251" s="235">
        <v>0</v>
      </c>
      <c r="L251" s="235">
        <v>-6430.75</v>
      </c>
      <c r="M251" s="235"/>
      <c r="N251" s="235">
        <v>1648.81</v>
      </c>
      <c r="O251" s="235">
        <v>151343.6</v>
      </c>
      <c r="P251" s="235">
        <v>23513.66</v>
      </c>
      <c r="Q251" s="235">
        <v>1119.8499999999999</v>
      </c>
      <c r="R251" s="235">
        <v>-49.45</v>
      </c>
      <c r="S251" s="235">
        <v>66709.899999999994</v>
      </c>
      <c r="T251" s="235">
        <v>1859214.5</v>
      </c>
      <c r="U251" s="235">
        <v>62810.35</v>
      </c>
      <c r="V251" s="235">
        <v>0</v>
      </c>
      <c r="W251" s="236">
        <f t="shared" si="3"/>
        <v>3296988.18</v>
      </c>
      <c r="X251" s="235">
        <v>2126</v>
      </c>
      <c r="Y251" s="235">
        <v>504</v>
      </c>
      <c r="Z251" s="237">
        <v>0.80800000000000005</v>
      </c>
      <c r="AA251" s="235">
        <v>71</v>
      </c>
      <c r="AB251" s="235">
        <v>54</v>
      </c>
      <c r="AC251" s="235" t="s">
        <v>566</v>
      </c>
      <c r="AD251" s="235" t="s">
        <v>566</v>
      </c>
      <c r="AE251" s="235">
        <v>0</v>
      </c>
    </row>
    <row r="252" spans="1:31" x14ac:dyDescent="0.25">
      <c r="A252" s="111">
        <v>5843</v>
      </c>
      <c r="B252" s="229" t="s">
        <v>339</v>
      </c>
      <c r="C252" s="376">
        <v>805</v>
      </c>
      <c r="D252" s="379">
        <v>79</v>
      </c>
      <c r="E252" s="238">
        <v>1.5</v>
      </c>
      <c r="F252" s="234">
        <v>2176260.46</v>
      </c>
      <c r="G252" s="235">
        <v>2056779.72</v>
      </c>
      <c r="H252" s="235">
        <v>165970.5</v>
      </c>
      <c r="I252" s="235">
        <v>12198.9</v>
      </c>
      <c r="J252" s="235">
        <v>1852536.32</v>
      </c>
      <c r="K252" s="235">
        <v>9506.86</v>
      </c>
      <c r="L252" s="235">
        <v>-75296.83</v>
      </c>
      <c r="M252" s="235"/>
      <c r="N252" s="235">
        <v>16587.32</v>
      </c>
      <c r="O252" s="235">
        <v>1329405.3500000001</v>
      </c>
      <c r="P252" s="235">
        <v>146742.51</v>
      </c>
      <c r="Q252" s="235">
        <v>29797.95</v>
      </c>
      <c r="R252" s="235">
        <v>-24160.05</v>
      </c>
      <c r="S252" s="235">
        <v>1007349.85</v>
      </c>
      <c r="T252" s="235">
        <v>527716</v>
      </c>
      <c r="U252" s="235">
        <v>1315300</v>
      </c>
      <c r="V252" s="235">
        <v>14723.1</v>
      </c>
      <c r="W252" s="236">
        <f t="shared" si="3"/>
        <v>10561417.960000001</v>
      </c>
      <c r="X252" s="235">
        <v>4104</v>
      </c>
      <c r="Y252" s="235">
        <v>805</v>
      </c>
      <c r="Z252" s="237">
        <v>0.73799999999999999</v>
      </c>
      <c r="AA252" s="235">
        <v>69</v>
      </c>
      <c r="AB252" s="235">
        <v>69</v>
      </c>
      <c r="AC252" s="235" t="s">
        <v>566</v>
      </c>
      <c r="AD252" s="235" t="s">
        <v>566</v>
      </c>
      <c r="AE252" s="235">
        <v>0</v>
      </c>
    </row>
    <row r="253" spans="1:31" x14ac:dyDescent="0.25">
      <c r="A253" s="111">
        <v>5851</v>
      </c>
      <c r="B253" s="229" t="s">
        <v>340</v>
      </c>
      <c r="C253" s="376">
        <v>412</v>
      </c>
      <c r="D253" s="379">
        <v>65</v>
      </c>
      <c r="E253" s="238">
        <v>1.2</v>
      </c>
      <c r="F253" s="234">
        <v>914740.03</v>
      </c>
      <c r="G253" s="235">
        <v>244111.49</v>
      </c>
      <c r="H253" s="235">
        <v>118893.05</v>
      </c>
      <c r="I253" s="235">
        <v>28178.3</v>
      </c>
      <c r="J253" s="235">
        <v>132954.54999999999</v>
      </c>
      <c r="K253" s="235">
        <v>0.21</v>
      </c>
      <c r="L253" s="235">
        <v>-7757.2</v>
      </c>
      <c r="M253" s="235"/>
      <c r="N253" s="235">
        <v>13692.14</v>
      </c>
      <c r="O253" s="235">
        <v>277137.40000000002</v>
      </c>
      <c r="P253" s="235">
        <v>58250.52</v>
      </c>
      <c r="Q253" s="235">
        <v>52374.85</v>
      </c>
      <c r="R253" s="235">
        <v>-1371.05</v>
      </c>
      <c r="S253" s="235">
        <v>88000</v>
      </c>
      <c r="T253" s="235">
        <v>180933.8</v>
      </c>
      <c r="U253" s="235">
        <v>0</v>
      </c>
      <c r="V253" s="235">
        <v>50231.25</v>
      </c>
      <c r="W253" s="236">
        <f t="shared" si="3"/>
        <v>2150369.3400000003</v>
      </c>
      <c r="X253" s="235">
        <v>256</v>
      </c>
      <c r="Y253" s="235">
        <v>0</v>
      </c>
      <c r="Z253" s="237">
        <v>3.3000000000000002E-2</v>
      </c>
      <c r="AA253" s="235">
        <v>29</v>
      </c>
      <c r="AB253" s="235">
        <v>20</v>
      </c>
      <c r="AC253" s="235" t="s">
        <v>566</v>
      </c>
      <c r="AD253" s="235" t="s">
        <v>566</v>
      </c>
      <c r="AE253" s="235">
        <v>0</v>
      </c>
    </row>
    <row r="254" spans="1:31" x14ac:dyDescent="0.25">
      <c r="A254" s="111">
        <v>5852</v>
      </c>
      <c r="B254" s="229" t="s">
        <v>341</v>
      </c>
      <c r="C254" s="376">
        <v>535</v>
      </c>
      <c r="D254" s="379">
        <v>62</v>
      </c>
      <c r="E254" s="238">
        <v>0.75</v>
      </c>
      <c r="F254" s="234">
        <v>1428499.96</v>
      </c>
      <c r="G254" s="235">
        <v>681083.3</v>
      </c>
      <c r="H254" s="235">
        <v>22612.400000000001</v>
      </c>
      <c r="I254" s="235">
        <v>1238.25</v>
      </c>
      <c r="J254" s="235">
        <v>578305.15</v>
      </c>
      <c r="K254" s="235">
        <v>0</v>
      </c>
      <c r="L254" s="235">
        <v>-9167.2099999999991</v>
      </c>
      <c r="M254" s="235"/>
      <c r="N254" s="235">
        <v>2220.46</v>
      </c>
      <c r="O254" s="235">
        <v>155374.95000000001</v>
      </c>
      <c r="P254" s="235">
        <v>38533.879999999997</v>
      </c>
      <c r="Q254" s="235">
        <v>10783.85</v>
      </c>
      <c r="R254" s="235">
        <v>-16500.2</v>
      </c>
      <c r="S254" s="235">
        <v>155760</v>
      </c>
      <c r="T254" s="235">
        <v>0</v>
      </c>
      <c r="U254" s="235">
        <v>64723.65</v>
      </c>
      <c r="V254" s="235">
        <v>11915.25</v>
      </c>
      <c r="W254" s="236">
        <f t="shared" si="3"/>
        <v>3125383.6899999995</v>
      </c>
      <c r="X254" s="235">
        <v>180</v>
      </c>
      <c r="Y254" s="235">
        <v>0</v>
      </c>
      <c r="Z254" s="237">
        <v>1.2999999999999999E-2</v>
      </c>
      <c r="AA254" s="235">
        <v>61</v>
      </c>
      <c r="AB254" s="235">
        <v>43</v>
      </c>
      <c r="AC254" s="235" t="s">
        <v>566</v>
      </c>
      <c r="AD254" s="235" t="s">
        <v>566</v>
      </c>
      <c r="AE254" s="235">
        <v>0</v>
      </c>
    </row>
    <row r="255" spans="1:31" x14ac:dyDescent="0.25">
      <c r="A255" s="111">
        <v>5853</v>
      </c>
      <c r="B255" s="229" t="s">
        <v>342</v>
      </c>
      <c r="C255" s="376">
        <v>831</v>
      </c>
      <c r="D255" s="379">
        <v>71</v>
      </c>
      <c r="E255" s="238">
        <v>1</v>
      </c>
      <c r="F255" s="234">
        <v>2305547.2599999998</v>
      </c>
      <c r="G255" s="235">
        <v>507707.05</v>
      </c>
      <c r="H255" s="235">
        <v>17606.900000000001</v>
      </c>
      <c r="I255" s="235">
        <v>3184.7</v>
      </c>
      <c r="J255" s="235">
        <v>123857.11</v>
      </c>
      <c r="K255" s="235">
        <v>434.27</v>
      </c>
      <c r="L255" s="235">
        <v>-28745.83</v>
      </c>
      <c r="M255" s="235"/>
      <c r="N255" s="235">
        <v>1935.67</v>
      </c>
      <c r="O255" s="235">
        <v>235746.4</v>
      </c>
      <c r="P255" s="235">
        <v>44336.67</v>
      </c>
      <c r="Q255" s="235">
        <v>10650</v>
      </c>
      <c r="R255" s="235">
        <v>-1967.1</v>
      </c>
      <c r="S255" s="235">
        <v>148614.25</v>
      </c>
      <c r="T255" s="235">
        <v>6077.2</v>
      </c>
      <c r="U255" s="235">
        <v>235430.55</v>
      </c>
      <c r="V255" s="235">
        <v>120423.95</v>
      </c>
      <c r="W255" s="236">
        <f t="shared" si="3"/>
        <v>3730839.0499999993</v>
      </c>
      <c r="X255" s="235">
        <v>340</v>
      </c>
      <c r="Y255" s="235">
        <v>0</v>
      </c>
      <c r="Z255" s="237">
        <v>0.224</v>
      </c>
      <c r="AA255" s="235">
        <v>104</v>
      </c>
      <c r="AB255" s="235">
        <v>66</v>
      </c>
      <c r="AC255" s="235" t="s">
        <v>566</v>
      </c>
      <c r="AD255" s="235" t="s">
        <v>566</v>
      </c>
      <c r="AE255" s="235">
        <v>0</v>
      </c>
    </row>
    <row r="256" spans="1:31" x14ac:dyDescent="0.25">
      <c r="A256" s="111">
        <v>5854</v>
      </c>
      <c r="B256" s="229" t="s">
        <v>343</v>
      </c>
      <c r="C256" s="376">
        <v>406</v>
      </c>
      <c r="D256" s="379">
        <v>75</v>
      </c>
      <c r="E256" s="238">
        <v>1.5</v>
      </c>
      <c r="F256" s="234">
        <v>813609.52</v>
      </c>
      <c r="G256" s="235">
        <v>205566.61</v>
      </c>
      <c r="H256" s="235">
        <v>19109.2</v>
      </c>
      <c r="I256" s="235">
        <v>2850.85</v>
      </c>
      <c r="J256" s="235">
        <v>0</v>
      </c>
      <c r="K256" s="235">
        <v>0</v>
      </c>
      <c r="L256" s="235">
        <v>-676.3</v>
      </c>
      <c r="M256" s="235"/>
      <c r="N256" s="235">
        <v>2044.45</v>
      </c>
      <c r="O256" s="235">
        <v>121668.95</v>
      </c>
      <c r="P256" s="235">
        <v>10158.450000000001</v>
      </c>
      <c r="Q256" s="235">
        <v>3438.95</v>
      </c>
      <c r="R256" s="235">
        <v>-939.2</v>
      </c>
      <c r="S256" s="235">
        <v>48954.1</v>
      </c>
      <c r="T256" s="235">
        <v>0</v>
      </c>
      <c r="U256" s="235">
        <v>35153.85</v>
      </c>
      <c r="V256" s="235">
        <v>13589.8</v>
      </c>
      <c r="W256" s="236">
        <f t="shared" si="3"/>
        <v>1274529.23</v>
      </c>
      <c r="X256" s="235">
        <v>561</v>
      </c>
      <c r="Y256" s="235">
        <v>292</v>
      </c>
      <c r="Z256" s="237">
        <v>6.3E-2</v>
      </c>
      <c r="AA256" s="235">
        <v>48</v>
      </c>
      <c r="AB256" s="235">
        <v>48</v>
      </c>
      <c r="AC256" s="235" t="s">
        <v>566</v>
      </c>
      <c r="AD256" s="235" t="s">
        <v>566</v>
      </c>
      <c r="AE256" s="235">
        <v>0</v>
      </c>
    </row>
    <row r="257" spans="1:31" x14ac:dyDescent="0.25">
      <c r="A257" s="111">
        <v>5855</v>
      </c>
      <c r="B257" s="229" t="s">
        <v>344</v>
      </c>
      <c r="C257" s="376">
        <v>637</v>
      </c>
      <c r="D257" s="379">
        <v>53</v>
      </c>
      <c r="E257" s="238">
        <v>1</v>
      </c>
      <c r="F257" s="234">
        <v>2731460.41</v>
      </c>
      <c r="G257" s="235">
        <v>1253128.96</v>
      </c>
      <c r="H257" s="235">
        <v>69610.5</v>
      </c>
      <c r="I257" s="235">
        <v>28500.75</v>
      </c>
      <c r="J257" s="235">
        <v>1184109.8999999999</v>
      </c>
      <c r="K257" s="235">
        <v>306.20999999999998</v>
      </c>
      <c r="L257" s="235">
        <v>-2317.08</v>
      </c>
      <c r="M257" s="235"/>
      <c r="N257" s="235">
        <v>9134.02</v>
      </c>
      <c r="O257" s="235">
        <v>398228.7</v>
      </c>
      <c r="P257" s="235">
        <v>13016.96</v>
      </c>
      <c r="Q257" s="235">
        <v>10838.5</v>
      </c>
      <c r="R257" s="235">
        <v>-24041.3</v>
      </c>
      <c r="S257" s="235">
        <v>190740</v>
      </c>
      <c r="T257" s="235">
        <v>0</v>
      </c>
      <c r="U257" s="235">
        <v>284589.59999999998</v>
      </c>
      <c r="V257" s="235">
        <v>5621.05</v>
      </c>
      <c r="W257" s="236">
        <f t="shared" si="3"/>
        <v>6152927.1799999988</v>
      </c>
      <c r="X257" s="235">
        <v>163</v>
      </c>
      <c r="Y257" s="235">
        <v>0</v>
      </c>
      <c r="Z257" s="237">
        <v>6.3E-2</v>
      </c>
      <c r="AA257" s="235">
        <v>56</v>
      </c>
      <c r="AB257" s="235">
        <v>36</v>
      </c>
      <c r="AC257" s="235" t="s">
        <v>566</v>
      </c>
      <c r="AD257" s="235" t="s">
        <v>566</v>
      </c>
      <c r="AE257" s="235">
        <v>0</v>
      </c>
    </row>
    <row r="258" spans="1:31" x14ac:dyDescent="0.25">
      <c r="A258" s="111">
        <v>5856</v>
      </c>
      <c r="B258" s="229" t="s">
        <v>345</v>
      </c>
      <c r="C258" s="376">
        <v>770</v>
      </c>
      <c r="D258" s="379">
        <v>66.5</v>
      </c>
      <c r="E258" s="238">
        <v>1.3</v>
      </c>
      <c r="F258" s="234">
        <v>1945150.88</v>
      </c>
      <c r="G258" s="235">
        <v>337862.66</v>
      </c>
      <c r="H258" s="235">
        <v>31077.4</v>
      </c>
      <c r="I258" s="235">
        <v>2076.15</v>
      </c>
      <c r="J258" s="235">
        <v>286562.2</v>
      </c>
      <c r="K258" s="235">
        <v>0</v>
      </c>
      <c r="L258" s="235">
        <v>-5261.32</v>
      </c>
      <c r="M258" s="235"/>
      <c r="N258" s="235">
        <v>3086.55</v>
      </c>
      <c r="O258" s="235">
        <v>273390.55</v>
      </c>
      <c r="P258" s="235">
        <v>7226.5</v>
      </c>
      <c r="Q258" s="235">
        <v>3209.5</v>
      </c>
      <c r="R258" s="235">
        <v>-1691.76</v>
      </c>
      <c r="S258" s="235">
        <v>60500</v>
      </c>
      <c r="T258" s="235">
        <v>205.3</v>
      </c>
      <c r="U258" s="235">
        <v>60140.95</v>
      </c>
      <c r="V258" s="235">
        <v>1382.45</v>
      </c>
      <c r="W258" s="236">
        <f t="shared" si="3"/>
        <v>3004918.0100000002</v>
      </c>
      <c r="X258" s="235">
        <v>700</v>
      </c>
      <c r="Y258" s="235">
        <v>139</v>
      </c>
      <c r="Z258" s="237">
        <v>7.0999999999999994E-2</v>
      </c>
      <c r="AA258" s="235">
        <v>110</v>
      </c>
      <c r="AB258" s="235">
        <v>77</v>
      </c>
      <c r="AC258" s="235" t="s">
        <v>566</v>
      </c>
      <c r="AD258" s="235" t="s">
        <v>566</v>
      </c>
      <c r="AE258" s="235">
        <v>0</v>
      </c>
    </row>
    <row r="259" spans="1:31" x14ac:dyDescent="0.25">
      <c r="A259" s="111">
        <v>5857</v>
      </c>
      <c r="B259" s="229" t="s">
        <v>346</v>
      </c>
      <c r="C259" s="376">
        <v>1429</v>
      </c>
      <c r="D259" s="379">
        <v>62.5</v>
      </c>
      <c r="E259" s="238">
        <v>1</v>
      </c>
      <c r="F259" s="234">
        <v>4756392.3899999997</v>
      </c>
      <c r="G259" s="235">
        <v>723448.26</v>
      </c>
      <c r="H259" s="235">
        <v>105761.25</v>
      </c>
      <c r="I259" s="235">
        <v>14898.65</v>
      </c>
      <c r="J259" s="235">
        <v>0</v>
      </c>
      <c r="K259" s="235">
        <v>0</v>
      </c>
      <c r="L259" s="235">
        <v>-21970.71</v>
      </c>
      <c r="M259" s="235"/>
      <c r="N259" s="235">
        <v>11233.27</v>
      </c>
      <c r="O259" s="235">
        <v>430958.45</v>
      </c>
      <c r="P259" s="235">
        <v>73608.259999999995</v>
      </c>
      <c r="Q259" s="235">
        <v>15892</v>
      </c>
      <c r="R259" s="235">
        <v>-4117.1499999999996</v>
      </c>
      <c r="S259" s="235">
        <v>232631.85</v>
      </c>
      <c r="T259" s="235">
        <v>32471.200000000001</v>
      </c>
      <c r="U259" s="235">
        <v>229944.85</v>
      </c>
      <c r="V259" s="235">
        <v>83329.350000000006</v>
      </c>
      <c r="W259" s="236">
        <f t="shared" si="3"/>
        <v>6684481.9199999981</v>
      </c>
      <c r="X259" s="235">
        <v>772</v>
      </c>
      <c r="Y259" s="235">
        <v>14</v>
      </c>
      <c r="Z259" s="237">
        <v>0.22800000000000001</v>
      </c>
      <c r="AA259" s="235">
        <v>157</v>
      </c>
      <c r="AB259" s="235">
        <v>72</v>
      </c>
      <c r="AC259" s="235" t="s">
        <v>566</v>
      </c>
      <c r="AD259" s="235" t="s">
        <v>566</v>
      </c>
      <c r="AE259" s="235">
        <v>0</v>
      </c>
    </row>
    <row r="260" spans="1:31" x14ac:dyDescent="0.25">
      <c r="A260" s="111">
        <v>5858</v>
      </c>
      <c r="B260" s="229" t="s">
        <v>347</v>
      </c>
      <c r="C260" s="376">
        <v>640</v>
      </c>
      <c r="D260" s="379">
        <v>58.5</v>
      </c>
      <c r="E260" s="238">
        <v>1.5</v>
      </c>
      <c r="F260" s="234">
        <v>1601381.86</v>
      </c>
      <c r="G260" s="235">
        <v>225262.45</v>
      </c>
      <c r="H260" s="235">
        <v>70035.399999999994</v>
      </c>
      <c r="I260" s="235">
        <v>1483.1</v>
      </c>
      <c r="J260" s="235">
        <v>41895.949999999997</v>
      </c>
      <c r="K260" s="235">
        <v>59.21</v>
      </c>
      <c r="L260" s="235">
        <v>-1651.76</v>
      </c>
      <c r="M260" s="235"/>
      <c r="N260" s="235">
        <v>6658.27</v>
      </c>
      <c r="O260" s="235">
        <v>255898.45</v>
      </c>
      <c r="P260" s="235">
        <v>72760.100000000006</v>
      </c>
      <c r="Q260" s="235">
        <v>1765.8</v>
      </c>
      <c r="R260" s="235">
        <v>-3365.27</v>
      </c>
      <c r="S260" s="235">
        <v>268802.09999999998</v>
      </c>
      <c r="T260" s="235">
        <v>0</v>
      </c>
      <c r="U260" s="235">
        <v>201946.25</v>
      </c>
      <c r="V260" s="235">
        <v>6228.5</v>
      </c>
      <c r="W260" s="236">
        <f t="shared" si="3"/>
        <v>2749160.41</v>
      </c>
      <c r="X260" s="235">
        <v>262</v>
      </c>
      <c r="Y260" s="235">
        <v>0</v>
      </c>
      <c r="Z260" s="237">
        <v>7.3999999999999996E-2</v>
      </c>
      <c r="AA260" s="235">
        <v>79</v>
      </c>
      <c r="AB260" s="235">
        <v>70</v>
      </c>
      <c r="AC260" s="235" t="s">
        <v>566</v>
      </c>
      <c r="AD260" s="235" t="s">
        <v>566</v>
      </c>
      <c r="AE260" s="235">
        <v>0</v>
      </c>
    </row>
    <row r="261" spans="1:31" x14ac:dyDescent="0.25">
      <c r="A261" s="111">
        <v>5859</v>
      </c>
      <c r="B261" s="229" t="s">
        <v>348</v>
      </c>
      <c r="C261" s="376">
        <v>2759</v>
      </c>
      <c r="D261" s="379">
        <v>62</v>
      </c>
      <c r="E261" s="238">
        <v>1</v>
      </c>
      <c r="F261" s="234">
        <v>8250171.3200000003</v>
      </c>
      <c r="G261" s="235">
        <v>1858134.11</v>
      </c>
      <c r="H261" s="235">
        <v>114478.75</v>
      </c>
      <c r="I261" s="235">
        <v>32324.05</v>
      </c>
      <c r="J261" s="235">
        <v>524268</v>
      </c>
      <c r="K261" s="235">
        <v>64276.44</v>
      </c>
      <c r="L261" s="235">
        <v>-97322.5</v>
      </c>
      <c r="M261" s="235"/>
      <c r="N261" s="235">
        <v>13667.13</v>
      </c>
      <c r="O261" s="235">
        <v>738721.5</v>
      </c>
      <c r="P261" s="235">
        <v>118450.57</v>
      </c>
      <c r="Q261" s="235">
        <v>23452.55</v>
      </c>
      <c r="R261" s="235">
        <v>-21361.599999999999</v>
      </c>
      <c r="S261" s="235">
        <v>686344.2</v>
      </c>
      <c r="T261" s="235">
        <v>118734.2</v>
      </c>
      <c r="U261" s="235">
        <v>392513.9</v>
      </c>
      <c r="V261" s="235">
        <v>122944.4</v>
      </c>
      <c r="W261" s="236">
        <f t="shared" si="3"/>
        <v>12939797.020000001</v>
      </c>
      <c r="X261" s="235">
        <v>385</v>
      </c>
      <c r="Y261" s="235">
        <v>7</v>
      </c>
      <c r="Z261" s="237">
        <v>0.161</v>
      </c>
      <c r="AA261" s="235">
        <v>325</v>
      </c>
      <c r="AB261" s="235">
        <v>20</v>
      </c>
      <c r="AC261" s="235" t="s">
        <v>566</v>
      </c>
      <c r="AD261" s="235" t="s">
        <v>566</v>
      </c>
      <c r="AE261" s="235">
        <v>0</v>
      </c>
    </row>
    <row r="262" spans="1:31" x14ac:dyDescent="0.25">
      <c r="A262" s="111">
        <v>5860</v>
      </c>
      <c r="B262" s="229" t="s">
        <v>349</v>
      </c>
      <c r="C262" s="376">
        <v>1573</v>
      </c>
      <c r="D262" s="379">
        <v>60.5</v>
      </c>
      <c r="E262" s="238">
        <v>1.3</v>
      </c>
      <c r="F262" s="234">
        <v>4650171.42</v>
      </c>
      <c r="G262" s="235">
        <v>1310448.92</v>
      </c>
      <c r="H262" s="235">
        <v>233898.7</v>
      </c>
      <c r="I262" s="235">
        <v>22803.1</v>
      </c>
      <c r="J262" s="235">
        <v>319203.20000000001</v>
      </c>
      <c r="K262" s="235">
        <v>5000.62</v>
      </c>
      <c r="L262" s="235">
        <v>-33310.410000000003</v>
      </c>
      <c r="M262" s="235"/>
      <c r="N262" s="235">
        <v>23898.58</v>
      </c>
      <c r="O262" s="235">
        <v>759990.6</v>
      </c>
      <c r="P262" s="235">
        <v>83446.759999999995</v>
      </c>
      <c r="Q262" s="235">
        <v>30646.400000000001</v>
      </c>
      <c r="R262" s="235">
        <v>-46861.35</v>
      </c>
      <c r="S262" s="235">
        <v>249486.2</v>
      </c>
      <c r="T262" s="235">
        <v>37557.5</v>
      </c>
      <c r="U262" s="235">
        <v>160927.75</v>
      </c>
      <c r="V262" s="235">
        <v>53594.5</v>
      </c>
      <c r="W262" s="236">
        <f t="shared" si="3"/>
        <v>7860902.4900000002</v>
      </c>
      <c r="X262" s="235">
        <v>286</v>
      </c>
      <c r="Y262" s="235">
        <v>0</v>
      </c>
      <c r="Z262" s="237">
        <v>6.9000000000000006E-2</v>
      </c>
      <c r="AA262" s="235">
        <v>164</v>
      </c>
      <c r="AB262" s="235">
        <v>78</v>
      </c>
      <c r="AC262" s="235" t="s">
        <v>566</v>
      </c>
      <c r="AD262" s="235" t="s">
        <v>566</v>
      </c>
      <c r="AE262" s="235">
        <v>0</v>
      </c>
    </row>
    <row r="263" spans="1:31" x14ac:dyDescent="0.25">
      <c r="A263" s="111">
        <v>5861</v>
      </c>
      <c r="B263" s="229" t="s">
        <v>350</v>
      </c>
      <c r="C263" s="376">
        <v>6604</v>
      </c>
      <c r="D263" s="379">
        <v>59.5</v>
      </c>
      <c r="E263" s="238">
        <v>1</v>
      </c>
      <c r="F263" s="234">
        <v>14796118.810000001</v>
      </c>
      <c r="G263" s="235">
        <v>2917664.14</v>
      </c>
      <c r="H263" s="235">
        <v>37251108.200000003</v>
      </c>
      <c r="I263" s="235">
        <v>937314.2</v>
      </c>
      <c r="J263" s="235">
        <v>448471.57</v>
      </c>
      <c r="K263" s="235">
        <v>90293.78</v>
      </c>
      <c r="L263" s="235">
        <v>-273928.93</v>
      </c>
      <c r="M263" s="235"/>
      <c r="N263" s="235">
        <v>3554395.75</v>
      </c>
      <c r="O263" s="235">
        <v>2013348.1</v>
      </c>
      <c r="P263" s="235">
        <v>744067.87</v>
      </c>
      <c r="Q263" s="235">
        <v>397009.85</v>
      </c>
      <c r="R263" s="235">
        <v>-128760.05</v>
      </c>
      <c r="S263" s="235">
        <v>1329596.2</v>
      </c>
      <c r="T263" s="235">
        <v>454951</v>
      </c>
      <c r="U263" s="235">
        <v>1072925.45</v>
      </c>
      <c r="V263" s="235">
        <v>552070</v>
      </c>
      <c r="W263" s="236">
        <f t="shared" si="3"/>
        <v>66156645.94000002</v>
      </c>
      <c r="X263" s="235">
        <v>268</v>
      </c>
      <c r="Y263" s="235">
        <v>0</v>
      </c>
      <c r="Z263" s="237">
        <v>4.1000000000000002E-2</v>
      </c>
      <c r="AA263" s="235">
        <v>643</v>
      </c>
      <c r="AB263" s="235">
        <v>8</v>
      </c>
      <c r="AC263" s="235">
        <v>354569.1</v>
      </c>
      <c r="AD263" s="235">
        <v>24469</v>
      </c>
      <c r="AE263" s="235">
        <v>0</v>
      </c>
    </row>
    <row r="264" spans="1:31" x14ac:dyDescent="0.25">
      <c r="A264" s="111">
        <v>5862</v>
      </c>
      <c r="B264" s="229" t="s">
        <v>351</v>
      </c>
      <c r="C264" s="376">
        <v>246</v>
      </c>
      <c r="D264" s="379">
        <v>79</v>
      </c>
      <c r="E264" s="238">
        <v>1</v>
      </c>
      <c r="F264" s="234">
        <v>792696.54</v>
      </c>
      <c r="G264" s="235">
        <v>74253.34</v>
      </c>
      <c r="H264" s="235">
        <v>6141.45</v>
      </c>
      <c r="I264" s="235">
        <v>2434.6</v>
      </c>
      <c r="J264" s="235">
        <v>0</v>
      </c>
      <c r="K264" s="235">
        <v>186.91</v>
      </c>
      <c r="L264" s="235">
        <v>-12862.62</v>
      </c>
      <c r="M264" s="235"/>
      <c r="N264" s="235">
        <v>798.42</v>
      </c>
      <c r="O264" s="235">
        <v>54056.800000000003</v>
      </c>
      <c r="P264" s="235">
        <v>-53921.22</v>
      </c>
      <c r="Q264" s="235">
        <v>4105.3</v>
      </c>
      <c r="R264" s="235">
        <v>0</v>
      </c>
      <c r="S264" s="235">
        <v>20790</v>
      </c>
      <c r="T264" s="235">
        <v>822.6</v>
      </c>
      <c r="U264" s="235">
        <v>11378.4</v>
      </c>
      <c r="V264" s="235">
        <v>3880.75</v>
      </c>
      <c r="W264" s="236">
        <f t="shared" si="3"/>
        <v>904761.27000000014</v>
      </c>
      <c r="X264" s="235">
        <v>108</v>
      </c>
      <c r="Y264" s="235">
        <v>0</v>
      </c>
      <c r="Z264" s="237">
        <v>0.221</v>
      </c>
      <c r="AA264" s="235">
        <v>23</v>
      </c>
      <c r="AB264" s="235">
        <v>5</v>
      </c>
      <c r="AC264" s="235" t="s">
        <v>566</v>
      </c>
      <c r="AD264" s="235" t="s">
        <v>566</v>
      </c>
      <c r="AE264" s="235">
        <v>0</v>
      </c>
    </row>
    <row r="265" spans="1:31" x14ac:dyDescent="0.25">
      <c r="A265" s="111">
        <v>5863</v>
      </c>
      <c r="B265" s="229" t="s">
        <v>352</v>
      </c>
      <c r="C265" s="376">
        <v>385</v>
      </c>
      <c r="D265" s="379">
        <v>65</v>
      </c>
      <c r="E265" s="238">
        <v>1</v>
      </c>
      <c r="F265" s="234">
        <v>977896.31</v>
      </c>
      <c r="G265" s="235">
        <v>283325.07</v>
      </c>
      <c r="H265" s="235">
        <v>-916.099999999999</v>
      </c>
      <c r="I265" s="235">
        <v>9078.9500000000007</v>
      </c>
      <c r="J265" s="235">
        <v>38816.35</v>
      </c>
      <c r="K265" s="235">
        <v>0</v>
      </c>
      <c r="L265" s="235">
        <v>-4922.3100000000004</v>
      </c>
      <c r="M265" s="235"/>
      <c r="N265" s="235">
        <v>759.95</v>
      </c>
      <c r="O265" s="235">
        <v>99442.1</v>
      </c>
      <c r="P265" s="235">
        <v>41473.99</v>
      </c>
      <c r="Q265" s="235">
        <v>2397.9</v>
      </c>
      <c r="R265" s="235">
        <v>-8606.7000000000007</v>
      </c>
      <c r="S265" s="235">
        <v>51300.7</v>
      </c>
      <c r="T265" s="235">
        <v>0</v>
      </c>
      <c r="U265" s="235">
        <v>52269.3</v>
      </c>
      <c r="V265" s="235">
        <v>19084.8</v>
      </c>
      <c r="W265" s="236">
        <f t="shared" ref="W265:W307" si="4">SUM(F265:V265)</f>
        <v>1561400.31</v>
      </c>
      <c r="X265" s="235">
        <v>109</v>
      </c>
      <c r="Y265" s="235">
        <v>0</v>
      </c>
      <c r="Z265" s="237">
        <v>0.152</v>
      </c>
      <c r="AA265" s="235">
        <v>35</v>
      </c>
      <c r="AB265" s="235">
        <v>25</v>
      </c>
      <c r="AC265" s="235" t="s">
        <v>566</v>
      </c>
      <c r="AD265" s="235" t="s">
        <v>566</v>
      </c>
      <c r="AE265" s="235">
        <v>0</v>
      </c>
    </row>
    <row r="266" spans="1:31" x14ac:dyDescent="0.25">
      <c r="A266" s="111">
        <v>5871</v>
      </c>
      <c r="B266" s="229" t="s">
        <v>353</v>
      </c>
      <c r="C266" s="376">
        <v>1599</v>
      </c>
      <c r="D266" s="429">
        <f>Q319</f>
        <v>77.107146583535652</v>
      </c>
      <c r="E266" s="238">
        <v>1</v>
      </c>
      <c r="F266" s="234">
        <v>2924963.91</v>
      </c>
      <c r="G266" s="234">
        <v>537019.27</v>
      </c>
      <c r="H266" s="234">
        <v>95645.35</v>
      </c>
      <c r="I266" s="234">
        <v>14616.85</v>
      </c>
      <c r="J266" s="234">
        <v>0</v>
      </c>
      <c r="K266" s="234">
        <v>5087.09</v>
      </c>
      <c r="L266" s="234">
        <v>-46070.22</v>
      </c>
      <c r="M266" s="234"/>
      <c r="N266" s="234">
        <v>10265.26</v>
      </c>
      <c r="O266" s="234">
        <v>316979.69999999995</v>
      </c>
      <c r="P266" s="234">
        <v>92015.41</v>
      </c>
      <c r="Q266" s="234">
        <v>6389.45</v>
      </c>
      <c r="R266" s="234">
        <v>-327.20999999999998</v>
      </c>
      <c r="S266" s="234">
        <v>133510.45000000001</v>
      </c>
      <c r="T266" s="234">
        <v>10483.200000000001</v>
      </c>
      <c r="U266" s="234">
        <v>197256.55000000002</v>
      </c>
      <c r="V266" s="234">
        <v>613347.69999999995</v>
      </c>
      <c r="W266" s="236">
        <f t="shared" si="4"/>
        <v>4911182.7600000007</v>
      </c>
      <c r="X266" s="235">
        <v>3145</v>
      </c>
      <c r="Y266" s="235">
        <v>1599</v>
      </c>
      <c r="Z266" s="237">
        <v>0.20399999999999999</v>
      </c>
      <c r="AA266" s="235">
        <v>165</v>
      </c>
      <c r="AB266" s="235">
        <v>122</v>
      </c>
      <c r="AC266" s="235" t="s">
        <v>566</v>
      </c>
      <c r="AD266" s="235" t="s">
        <v>566</v>
      </c>
      <c r="AE266" s="235">
        <v>0</v>
      </c>
    </row>
    <row r="267" spans="1:31" x14ac:dyDescent="0.25">
      <c r="A267" s="111">
        <v>5872</v>
      </c>
      <c r="B267" s="229" t="s">
        <v>354</v>
      </c>
      <c r="C267" s="376">
        <v>4792</v>
      </c>
      <c r="D267" s="429">
        <f>Q318</f>
        <v>66.361546221835468</v>
      </c>
      <c r="E267" s="238">
        <v>1</v>
      </c>
      <c r="F267" s="234">
        <v>6942349.0700000003</v>
      </c>
      <c r="G267" s="234">
        <v>1012829.68</v>
      </c>
      <c r="H267" s="234">
        <v>13183180.549999999</v>
      </c>
      <c r="I267" s="234">
        <v>867.05000000000155</v>
      </c>
      <c r="J267" s="234">
        <v>0</v>
      </c>
      <c r="K267" s="234">
        <v>44307.090000000004</v>
      </c>
      <c r="L267" s="234">
        <v>-103782.81999999999</v>
      </c>
      <c r="M267" s="234"/>
      <c r="N267" s="234">
        <v>1227416.32</v>
      </c>
      <c r="O267" s="234">
        <v>938356.1</v>
      </c>
      <c r="P267" s="234">
        <v>613347.54</v>
      </c>
      <c r="Q267" s="234">
        <v>81365.2</v>
      </c>
      <c r="R267" s="234">
        <v>-7390.45</v>
      </c>
      <c r="S267" s="234">
        <v>331724.59999999998</v>
      </c>
      <c r="T267" s="234">
        <v>271362.2</v>
      </c>
      <c r="U267" s="234">
        <v>273071.8</v>
      </c>
      <c r="V267" s="234">
        <v>6043571.2000000002</v>
      </c>
      <c r="W267" s="236">
        <f t="shared" si="4"/>
        <v>30852575.129999999</v>
      </c>
      <c r="X267" s="235">
        <v>9779</v>
      </c>
      <c r="Y267" s="235">
        <v>4792</v>
      </c>
      <c r="Z267" s="237">
        <v>0.127</v>
      </c>
      <c r="AA267" s="235">
        <v>511</v>
      </c>
      <c r="AB267" s="235">
        <v>81</v>
      </c>
      <c r="AC267" s="235" t="s">
        <v>566</v>
      </c>
      <c r="AD267" s="235" t="s">
        <v>566</v>
      </c>
      <c r="AE267" s="235">
        <v>0</v>
      </c>
    </row>
    <row r="268" spans="1:31" x14ac:dyDescent="0.25">
      <c r="A268" s="111">
        <v>5873</v>
      </c>
      <c r="B268" s="229" t="s">
        <v>355</v>
      </c>
      <c r="C268" s="376">
        <v>926</v>
      </c>
      <c r="D268" s="379">
        <v>70</v>
      </c>
      <c r="E268" s="238">
        <v>0.8</v>
      </c>
      <c r="F268" s="234">
        <v>1425488.26</v>
      </c>
      <c r="G268" s="234">
        <v>406747.12</v>
      </c>
      <c r="H268" s="234">
        <v>50507.7</v>
      </c>
      <c r="I268" s="234">
        <v>18039.150000000001</v>
      </c>
      <c r="J268" s="234">
        <v>0</v>
      </c>
      <c r="K268" s="234">
        <v>1646.11</v>
      </c>
      <c r="L268" s="234">
        <v>-10631.87</v>
      </c>
      <c r="M268" s="234"/>
      <c r="N268" s="234">
        <v>6381.62</v>
      </c>
      <c r="O268" s="234">
        <v>131476</v>
      </c>
      <c r="P268" s="234">
        <v>49939.360000000001</v>
      </c>
      <c r="Q268" s="234">
        <v>0</v>
      </c>
      <c r="R268" s="234">
        <v>-418.05</v>
      </c>
      <c r="S268" s="234">
        <v>54328.45</v>
      </c>
      <c r="T268" s="234">
        <v>8571</v>
      </c>
      <c r="U268" s="234">
        <v>35249.75</v>
      </c>
      <c r="V268" s="234">
        <v>1254596.3500000001</v>
      </c>
      <c r="W268" s="236">
        <f t="shared" si="4"/>
        <v>3431920.95</v>
      </c>
      <c r="X268" s="235">
        <v>3181</v>
      </c>
      <c r="Y268" s="235">
        <v>926</v>
      </c>
      <c r="Z268" s="237">
        <v>0.123</v>
      </c>
      <c r="AA268" s="235">
        <v>107</v>
      </c>
      <c r="AB268" s="235">
        <v>84</v>
      </c>
      <c r="AC268" s="235" t="s">
        <v>566</v>
      </c>
      <c r="AD268" s="235" t="s">
        <v>566</v>
      </c>
      <c r="AE268" s="235">
        <v>0</v>
      </c>
    </row>
    <row r="269" spans="1:31" x14ac:dyDescent="0.25">
      <c r="A269" s="111">
        <v>5882</v>
      </c>
      <c r="B269" s="229" t="s">
        <v>356</v>
      </c>
      <c r="C269" s="376">
        <v>3384</v>
      </c>
      <c r="D269" s="379">
        <v>68</v>
      </c>
      <c r="E269" s="238">
        <v>1</v>
      </c>
      <c r="F269" s="234">
        <v>9317767.5199999996</v>
      </c>
      <c r="G269" s="235">
        <v>2275436.88</v>
      </c>
      <c r="H269" s="235">
        <v>29810.05</v>
      </c>
      <c r="I269" s="235">
        <v>24140.9</v>
      </c>
      <c r="J269" s="235">
        <v>578924.05000000005</v>
      </c>
      <c r="K269" s="235">
        <v>29328.77</v>
      </c>
      <c r="L269" s="235">
        <v>-177276.21</v>
      </c>
      <c r="M269" s="235"/>
      <c r="N269" s="235">
        <v>5022.76</v>
      </c>
      <c r="O269" s="235">
        <v>1117550.5900000001</v>
      </c>
      <c r="P269" s="235">
        <v>269612.09999999998</v>
      </c>
      <c r="Q269" s="235">
        <v>76914.3</v>
      </c>
      <c r="R269" s="235">
        <v>-57535.29</v>
      </c>
      <c r="S269" s="235">
        <v>1045281.8</v>
      </c>
      <c r="T269" s="235">
        <v>494327.8</v>
      </c>
      <c r="U269" s="235">
        <v>498208.3</v>
      </c>
      <c r="V269" s="235">
        <v>22753.9</v>
      </c>
      <c r="W269" s="236">
        <f t="shared" si="4"/>
        <v>15550268.220000003</v>
      </c>
      <c r="X269" s="235">
        <v>1024</v>
      </c>
      <c r="Y269" s="235">
        <v>1107</v>
      </c>
      <c r="Z269" s="237">
        <v>0.32900000000000001</v>
      </c>
      <c r="AA269" s="235">
        <v>270</v>
      </c>
      <c r="AB269" s="235">
        <v>85</v>
      </c>
      <c r="AC269" s="235" t="s">
        <v>566</v>
      </c>
      <c r="AD269" s="235" t="s">
        <v>566</v>
      </c>
      <c r="AE269" s="235">
        <v>1</v>
      </c>
    </row>
    <row r="270" spans="1:31" x14ac:dyDescent="0.25">
      <c r="A270" s="111">
        <v>5883</v>
      </c>
      <c r="B270" s="229" t="s">
        <v>357</v>
      </c>
      <c r="C270" s="376">
        <v>2326</v>
      </c>
      <c r="D270" s="379">
        <v>67.5</v>
      </c>
      <c r="E270" s="238">
        <v>1</v>
      </c>
      <c r="F270" s="234">
        <v>9549820.9700000007</v>
      </c>
      <c r="G270" s="235">
        <v>2280272.7400000002</v>
      </c>
      <c r="H270" s="235">
        <v>138250.5</v>
      </c>
      <c r="I270" s="235">
        <v>8245.85</v>
      </c>
      <c r="J270" s="235">
        <v>610460</v>
      </c>
      <c r="K270" s="235">
        <v>6928.09</v>
      </c>
      <c r="L270" s="235">
        <v>-34956.339999999997</v>
      </c>
      <c r="M270" s="235"/>
      <c r="N270" s="235">
        <v>13636.56</v>
      </c>
      <c r="O270" s="235">
        <v>765723.35</v>
      </c>
      <c r="P270" s="235">
        <v>-2405.46</v>
      </c>
      <c r="Q270" s="235">
        <v>20965.3</v>
      </c>
      <c r="R270" s="235">
        <v>-40695.089999999997</v>
      </c>
      <c r="S270" s="235">
        <v>667868.85</v>
      </c>
      <c r="T270" s="235">
        <v>135276.29999999999</v>
      </c>
      <c r="U270" s="235">
        <v>465909.15</v>
      </c>
      <c r="V270" s="235">
        <v>8048.45</v>
      </c>
      <c r="W270" s="236">
        <f t="shared" si="4"/>
        <v>14593349.220000001</v>
      </c>
      <c r="X270" s="235">
        <v>106</v>
      </c>
      <c r="Y270" s="235">
        <v>0</v>
      </c>
      <c r="Z270" s="237">
        <v>0.22500000000000001</v>
      </c>
      <c r="AA270" s="235">
        <v>198</v>
      </c>
      <c r="AB270" s="235">
        <v>3</v>
      </c>
      <c r="AC270" s="235">
        <v>328763.90000000002</v>
      </c>
      <c r="AD270" s="235">
        <v>-33812.300000000003</v>
      </c>
      <c r="AE270" s="235">
        <v>1</v>
      </c>
    </row>
    <row r="271" spans="1:31" x14ac:dyDescent="0.25">
      <c r="A271" s="111">
        <v>5884</v>
      </c>
      <c r="B271" s="229" t="s">
        <v>358</v>
      </c>
      <c r="C271" s="376">
        <v>3458</v>
      </c>
      <c r="D271" s="379">
        <v>64.5</v>
      </c>
      <c r="E271" s="238">
        <v>1.2</v>
      </c>
      <c r="F271" s="234">
        <v>5347561.92</v>
      </c>
      <c r="G271" s="235">
        <v>898962.83</v>
      </c>
      <c r="H271" s="235">
        <v>7728833.9000000004</v>
      </c>
      <c r="I271" s="235">
        <v>63397.8</v>
      </c>
      <c r="J271" s="235">
        <v>33544.35</v>
      </c>
      <c r="K271" s="235">
        <v>12755.77</v>
      </c>
      <c r="L271" s="235">
        <v>-70591.759999999995</v>
      </c>
      <c r="M271" s="235"/>
      <c r="N271" s="235">
        <v>725445.83</v>
      </c>
      <c r="O271" s="235">
        <v>1026324.95</v>
      </c>
      <c r="P271" s="235">
        <v>131665.13</v>
      </c>
      <c r="Q271" s="235">
        <v>196337.9</v>
      </c>
      <c r="R271" s="235">
        <v>-1905.41</v>
      </c>
      <c r="S271" s="235">
        <v>413778.8</v>
      </c>
      <c r="T271" s="235">
        <v>270227</v>
      </c>
      <c r="U271" s="235">
        <v>387349.65</v>
      </c>
      <c r="V271" s="235">
        <v>607157.65</v>
      </c>
      <c r="W271" s="236">
        <f t="shared" si="4"/>
        <v>17770846.309999999</v>
      </c>
      <c r="X271" s="235">
        <v>669</v>
      </c>
      <c r="Y271" s="235">
        <v>739</v>
      </c>
      <c r="Z271" s="237">
        <v>0.38100000000000001</v>
      </c>
      <c r="AA271" s="235">
        <v>367</v>
      </c>
      <c r="AB271" s="235">
        <v>111</v>
      </c>
      <c r="AC271" s="235">
        <v>921394.07</v>
      </c>
      <c r="AD271" s="235">
        <v>-79462.060000000056</v>
      </c>
      <c r="AE271" s="235">
        <v>1</v>
      </c>
    </row>
    <row r="272" spans="1:31" x14ac:dyDescent="0.25">
      <c r="A272" s="111">
        <v>5885</v>
      </c>
      <c r="B272" s="229" t="s">
        <v>359</v>
      </c>
      <c r="C272" s="376">
        <v>1917</v>
      </c>
      <c r="D272" s="379">
        <v>69.5</v>
      </c>
      <c r="E272" s="238">
        <v>1.2</v>
      </c>
      <c r="F272" s="234">
        <v>5752109.2199999997</v>
      </c>
      <c r="G272" s="235">
        <v>936908.24</v>
      </c>
      <c r="H272" s="235">
        <v>30337.4</v>
      </c>
      <c r="I272" s="235">
        <v>13641</v>
      </c>
      <c r="J272" s="235">
        <v>-22067.7</v>
      </c>
      <c r="K272" s="235">
        <v>31119.35</v>
      </c>
      <c r="L272" s="235">
        <v>-57625.23</v>
      </c>
      <c r="M272" s="235"/>
      <c r="N272" s="235">
        <v>4024.77</v>
      </c>
      <c r="O272" s="235">
        <v>610938.25</v>
      </c>
      <c r="P272" s="235">
        <v>9926.0300000000007</v>
      </c>
      <c r="Q272" s="235">
        <v>25806.55</v>
      </c>
      <c r="R272" s="235">
        <v>-6867.75</v>
      </c>
      <c r="S272" s="235">
        <v>249047.3</v>
      </c>
      <c r="T272" s="235">
        <v>73968.2</v>
      </c>
      <c r="U272" s="235">
        <v>181952.15</v>
      </c>
      <c r="V272" s="235">
        <v>12601.15</v>
      </c>
      <c r="W272" s="236">
        <f t="shared" si="4"/>
        <v>7845818.9299999997</v>
      </c>
      <c r="X272" s="235">
        <v>214</v>
      </c>
      <c r="Y272" s="235">
        <v>225</v>
      </c>
      <c r="Z272" s="237">
        <v>0.17399999999999999</v>
      </c>
      <c r="AA272" s="235">
        <v>236</v>
      </c>
      <c r="AB272" s="235">
        <v>33</v>
      </c>
      <c r="AC272" s="235" t="s">
        <v>566</v>
      </c>
      <c r="AD272" s="235" t="s">
        <v>566</v>
      </c>
      <c r="AE272" s="235">
        <v>1</v>
      </c>
    </row>
    <row r="273" spans="1:31" x14ac:dyDescent="0.25">
      <c r="A273" s="111">
        <v>5886</v>
      </c>
      <c r="B273" s="229" t="s">
        <v>360</v>
      </c>
      <c r="C273" s="376">
        <v>27166</v>
      </c>
      <c r="D273" s="379">
        <v>65</v>
      </c>
      <c r="E273" s="238">
        <v>1.5</v>
      </c>
      <c r="F273" s="234">
        <v>46140525.579999998</v>
      </c>
      <c r="G273" s="235">
        <v>12737531.18</v>
      </c>
      <c r="H273" s="235">
        <v>5398586.0499999998</v>
      </c>
      <c r="I273" s="235">
        <v>797577.95</v>
      </c>
      <c r="J273" s="235">
        <v>4606914.45</v>
      </c>
      <c r="K273" s="235">
        <v>308296.63</v>
      </c>
      <c r="L273" s="235">
        <v>-1296031.3700000001</v>
      </c>
      <c r="M273" s="235"/>
      <c r="N273" s="235">
        <v>581053.07999999996</v>
      </c>
      <c r="O273" s="235">
        <v>11937114.800000001</v>
      </c>
      <c r="P273" s="235">
        <v>2367599.7000000002</v>
      </c>
      <c r="Q273" s="235">
        <v>666113.4</v>
      </c>
      <c r="R273" s="235">
        <v>-258260.12</v>
      </c>
      <c r="S273" s="235">
        <v>5504068.2999999998</v>
      </c>
      <c r="T273" s="235">
        <v>13671780.9</v>
      </c>
      <c r="U273" s="235">
        <v>3641576.8</v>
      </c>
      <c r="V273" s="235">
        <v>1494104.25</v>
      </c>
      <c r="W273" s="236">
        <f t="shared" si="4"/>
        <v>108298551.57999998</v>
      </c>
      <c r="X273" s="235">
        <v>3196</v>
      </c>
      <c r="Y273" s="235">
        <v>1517</v>
      </c>
      <c r="Z273" s="237">
        <v>0.70299999999999996</v>
      </c>
      <c r="AA273" s="235">
        <v>2407</v>
      </c>
      <c r="AB273" s="235">
        <v>172</v>
      </c>
      <c r="AC273" s="235">
        <v>5044234.1500000004</v>
      </c>
      <c r="AD273" s="235">
        <v>-1575069.22</v>
      </c>
      <c r="AE273" s="235">
        <v>1</v>
      </c>
    </row>
    <row r="274" spans="1:31" x14ac:dyDescent="0.25">
      <c r="A274" s="111">
        <v>5889</v>
      </c>
      <c r="B274" s="229" t="s">
        <v>361</v>
      </c>
      <c r="C274" s="376">
        <v>13053</v>
      </c>
      <c r="D274" s="379">
        <v>64</v>
      </c>
      <c r="E274" s="238">
        <v>1.2</v>
      </c>
      <c r="F274" s="234">
        <v>28706081.02</v>
      </c>
      <c r="G274" s="235">
        <v>6025771.6900000004</v>
      </c>
      <c r="H274" s="235">
        <v>13491274.550000001</v>
      </c>
      <c r="I274" s="235">
        <v>-564153.85</v>
      </c>
      <c r="J274" s="235">
        <v>1008399.46</v>
      </c>
      <c r="K274" s="235">
        <v>71653.8</v>
      </c>
      <c r="L274" s="235">
        <v>-282641.96000000002</v>
      </c>
      <c r="M274" s="235"/>
      <c r="N274" s="235">
        <v>829924.7</v>
      </c>
      <c r="O274" s="235">
        <v>3547197.85</v>
      </c>
      <c r="P274" s="235">
        <v>898670.21</v>
      </c>
      <c r="Q274" s="235">
        <v>311366.90000000002</v>
      </c>
      <c r="R274" s="235">
        <v>-4134779.33</v>
      </c>
      <c r="S274" s="235">
        <v>1462156.35</v>
      </c>
      <c r="T274" s="235">
        <v>1014203.7</v>
      </c>
      <c r="U274" s="235">
        <v>797220.45</v>
      </c>
      <c r="V274" s="235">
        <v>196692.7</v>
      </c>
      <c r="W274" s="236">
        <f t="shared" si="4"/>
        <v>53379038.240000017</v>
      </c>
      <c r="X274" s="235">
        <v>326</v>
      </c>
      <c r="Y274" s="235">
        <v>0</v>
      </c>
      <c r="Z274" s="237">
        <v>0.12</v>
      </c>
      <c r="AA274" s="235">
        <v>1337</v>
      </c>
      <c r="AB274" s="235">
        <v>12</v>
      </c>
      <c r="AC274" s="235">
        <v>2283117.6</v>
      </c>
      <c r="AD274" s="235">
        <v>-623833.63</v>
      </c>
      <c r="AE274" s="235">
        <v>1</v>
      </c>
    </row>
    <row r="275" spans="1:31" x14ac:dyDescent="0.25">
      <c r="A275" s="111">
        <v>5890</v>
      </c>
      <c r="B275" s="229" t="s">
        <v>362</v>
      </c>
      <c r="C275" s="376">
        <v>20179</v>
      </c>
      <c r="D275" s="379">
        <v>74.5</v>
      </c>
      <c r="E275" s="238">
        <v>1.5</v>
      </c>
      <c r="F275" s="234">
        <v>39300302.289999999</v>
      </c>
      <c r="G275" s="235">
        <v>6997932.2800000003</v>
      </c>
      <c r="H275" s="235">
        <v>35304407.75</v>
      </c>
      <c r="I275" s="235">
        <v>-1079745.75</v>
      </c>
      <c r="J275" s="235">
        <v>212346.25</v>
      </c>
      <c r="K275" s="235">
        <v>188047.99</v>
      </c>
      <c r="L275" s="235">
        <v>-746108.31</v>
      </c>
      <c r="M275" s="235"/>
      <c r="N275" s="235">
        <v>2439202.94</v>
      </c>
      <c r="O275" s="235">
        <v>6313744.1699999999</v>
      </c>
      <c r="P275" s="235">
        <v>3451233.87</v>
      </c>
      <c r="Q275" s="235">
        <v>622499.19999999995</v>
      </c>
      <c r="R275" s="235">
        <v>-8099728.5</v>
      </c>
      <c r="S275" s="235">
        <v>2340758.6</v>
      </c>
      <c r="T275" s="235">
        <v>1194139.5</v>
      </c>
      <c r="U275" s="235">
        <v>1063136.3500000001</v>
      </c>
      <c r="V275" s="235">
        <v>872669.7</v>
      </c>
      <c r="W275" s="236">
        <f t="shared" si="4"/>
        <v>90374838.329999983</v>
      </c>
      <c r="X275" s="235">
        <v>230</v>
      </c>
      <c r="Y275" s="235">
        <v>0</v>
      </c>
      <c r="Z275" s="237">
        <v>0.124</v>
      </c>
      <c r="AA275" s="235">
        <v>2017</v>
      </c>
      <c r="AB275" s="235">
        <v>33</v>
      </c>
      <c r="AC275" s="235">
        <v>3830868.09</v>
      </c>
      <c r="AD275" s="235">
        <v>-843739.68</v>
      </c>
      <c r="AE275" s="235">
        <v>1</v>
      </c>
    </row>
    <row r="276" spans="1:31" x14ac:dyDescent="0.25">
      <c r="A276" s="111">
        <v>5891</v>
      </c>
      <c r="B276" s="229" t="s">
        <v>363</v>
      </c>
      <c r="C276" s="376">
        <v>1008</v>
      </c>
      <c r="D276" s="379">
        <v>65</v>
      </c>
      <c r="E276" s="238">
        <v>1.5</v>
      </c>
      <c r="F276" s="234">
        <v>1551501.95</v>
      </c>
      <c r="G276" s="235">
        <v>358885.76</v>
      </c>
      <c r="H276" s="235">
        <v>198614.1</v>
      </c>
      <c r="I276" s="235">
        <v>-73600.350000000006</v>
      </c>
      <c r="J276" s="235">
        <v>0</v>
      </c>
      <c r="K276" s="235">
        <v>7921.3</v>
      </c>
      <c r="L276" s="235">
        <v>-71091.740000000005</v>
      </c>
      <c r="M276" s="235"/>
      <c r="N276" s="235">
        <v>11638.6</v>
      </c>
      <c r="O276" s="235">
        <v>481217.95</v>
      </c>
      <c r="P276" s="235">
        <v>114796.91</v>
      </c>
      <c r="Q276" s="235">
        <v>19762.349999999999</v>
      </c>
      <c r="R276" s="235">
        <v>-3925.2</v>
      </c>
      <c r="S276" s="235">
        <v>129744.9</v>
      </c>
      <c r="T276" s="235">
        <v>0</v>
      </c>
      <c r="U276" s="235">
        <v>29939.55</v>
      </c>
      <c r="V276" s="235">
        <v>12999.6</v>
      </c>
      <c r="W276" s="236">
        <f t="shared" si="4"/>
        <v>2768405.68</v>
      </c>
      <c r="X276" s="235">
        <v>642</v>
      </c>
      <c r="Y276" s="235">
        <v>16</v>
      </c>
      <c r="Z276" s="237">
        <v>0.88100000000000001</v>
      </c>
      <c r="AA276" s="235">
        <v>77</v>
      </c>
      <c r="AB276" s="235">
        <v>14</v>
      </c>
      <c r="AC276" s="235">
        <v>357611</v>
      </c>
      <c r="AD276" s="235">
        <v>-139128.46</v>
      </c>
      <c r="AE276" s="235">
        <v>1</v>
      </c>
    </row>
    <row r="277" spans="1:31" x14ac:dyDescent="0.25">
      <c r="A277" s="111">
        <v>5892</v>
      </c>
      <c r="B277" s="229" t="s">
        <v>364</v>
      </c>
      <c r="C277" s="376">
        <v>12597</v>
      </c>
      <c r="D277" s="379">
        <v>67.5</v>
      </c>
      <c r="E277" s="238">
        <v>1</v>
      </c>
      <c r="F277" s="234">
        <v>36615278.850000001</v>
      </c>
      <c r="G277" s="235">
        <v>8350715.9000000004</v>
      </c>
      <c r="H277" s="235">
        <v>693933.1</v>
      </c>
      <c r="I277" s="235">
        <v>150279.70000000001</v>
      </c>
      <c r="J277" s="235">
        <v>976964.13</v>
      </c>
      <c r="K277" s="235">
        <v>178666.93</v>
      </c>
      <c r="L277" s="235">
        <v>-437983.27</v>
      </c>
      <c r="M277" s="235"/>
      <c r="N277" s="235">
        <v>78487.570000000007</v>
      </c>
      <c r="O277" s="235">
        <v>3852424.55</v>
      </c>
      <c r="P277" s="235">
        <v>210834.31</v>
      </c>
      <c r="Q277" s="235">
        <v>180357.7</v>
      </c>
      <c r="R277" s="235">
        <v>-343710.38</v>
      </c>
      <c r="S277" s="235">
        <v>2097121.75</v>
      </c>
      <c r="T277" s="235">
        <v>34936448.399999999</v>
      </c>
      <c r="U277" s="235">
        <v>1927383.4</v>
      </c>
      <c r="V277" s="235">
        <v>363325.4</v>
      </c>
      <c r="W277" s="236">
        <f t="shared" si="4"/>
        <v>89830528.040000021</v>
      </c>
      <c r="X277" s="235">
        <v>3067</v>
      </c>
      <c r="Y277" s="235">
        <v>833</v>
      </c>
      <c r="Z277" s="237">
        <v>0.434</v>
      </c>
      <c r="AA277" s="235">
        <v>1338</v>
      </c>
      <c r="AB277" s="235">
        <v>107</v>
      </c>
      <c r="AC277" s="235">
        <v>1146326.79</v>
      </c>
      <c r="AD277" s="235">
        <v>-144633.79</v>
      </c>
      <c r="AE277" s="235">
        <v>1</v>
      </c>
    </row>
    <row r="278" spans="1:31" x14ac:dyDescent="0.25">
      <c r="A278" s="111">
        <v>5902</v>
      </c>
      <c r="B278" s="229" t="s">
        <v>365</v>
      </c>
      <c r="C278" s="376">
        <v>457</v>
      </c>
      <c r="D278" s="379">
        <v>70</v>
      </c>
      <c r="E278" s="238">
        <v>1</v>
      </c>
      <c r="F278" s="234">
        <v>627042.93999999994</v>
      </c>
      <c r="G278" s="235">
        <v>73345.679999999993</v>
      </c>
      <c r="H278" s="235">
        <v>-1304.7</v>
      </c>
      <c r="I278" s="235">
        <v>1431.5</v>
      </c>
      <c r="J278" s="235">
        <v>0</v>
      </c>
      <c r="K278" s="235">
        <v>0</v>
      </c>
      <c r="L278" s="235">
        <v>-2763.52</v>
      </c>
      <c r="M278" s="235"/>
      <c r="N278" s="235">
        <v>11.8</v>
      </c>
      <c r="O278" s="235">
        <v>78267.199999999997</v>
      </c>
      <c r="P278" s="235">
        <v>9886.51</v>
      </c>
      <c r="Q278" s="235">
        <v>0</v>
      </c>
      <c r="R278" s="235">
        <v>-61.7</v>
      </c>
      <c r="S278" s="235">
        <v>51921.15</v>
      </c>
      <c r="T278" s="235">
        <v>87</v>
      </c>
      <c r="U278" s="235">
        <v>7799.6</v>
      </c>
      <c r="V278" s="235">
        <v>0</v>
      </c>
      <c r="W278" s="236">
        <f t="shared" si="4"/>
        <v>845663.46</v>
      </c>
      <c r="X278" s="235">
        <v>646</v>
      </c>
      <c r="Y278" s="235">
        <v>0</v>
      </c>
      <c r="Z278" s="237">
        <v>7.5999999999999998E-2</v>
      </c>
      <c r="AA278" s="235">
        <v>60</v>
      </c>
      <c r="AB278" s="235">
        <v>58</v>
      </c>
      <c r="AC278" s="235" t="s">
        <v>566</v>
      </c>
      <c r="AD278" s="235" t="s">
        <v>566</v>
      </c>
      <c r="AE278" s="235">
        <v>0</v>
      </c>
    </row>
    <row r="279" spans="1:31" x14ac:dyDescent="0.25">
      <c r="A279" s="111">
        <v>5903</v>
      </c>
      <c r="B279" s="229" t="s">
        <v>366</v>
      </c>
      <c r="C279" s="376">
        <v>252</v>
      </c>
      <c r="D279" s="379">
        <v>72</v>
      </c>
      <c r="E279" s="238">
        <v>0.7</v>
      </c>
      <c r="F279" s="234">
        <v>377068.39</v>
      </c>
      <c r="G279" s="235">
        <v>48444.65</v>
      </c>
      <c r="H279" s="235">
        <v>6881.5</v>
      </c>
      <c r="I279" s="235">
        <v>904.5</v>
      </c>
      <c r="J279" s="235">
        <v>0</v>
      </c>
      <c r="K279" s="235">
        <v>0</v>
      </c>
      <c r="L279" s="235">
        <v>-6675.8</v>
      </c>
      <c r="M279" s="235"/>
      <c r="N279" s="235">
        <v>724.87</v>
      </c>
      <c r="O279" s="235">
        <v>30680.25</v>
      </c>
      <c r="P279" s="235">
        <v>863.04</v>
      </c>
      <c r="Q279" s="235">
        <v>0</v>
      </c>
      <c r="R279" s="235">
        <v>-124.7</v>
      </c>
      <c r="S279" s="235">
        <v>26963.85</v>
      </c>
      <c r="T279" s="235">
        <v>34.5</v>
      </c>
      <c r="U279" s="235">
        <v>20594.05</v>
      </c>
      <c r="V279" s="235">
        <v>29976.1</v>
      </c>
      <c r="W279" s="236">
        <f t="shared" si="4"/>
        <v>536335.19999999995</v>
      </c>
      <c r="X279" s="235">
        <v>426</v>
      </c>
      <c r="Y279" s="235">
        <v>0</v>
      </c>
      <c r="Z279" s="237">
        <v>0.14199999999999999</v>
      </c>
      <c r="AA279" s="235">
        <v>41</v>
      </c>
      <c r="AB279" s="235">
        <v>41</v>
      </c>
      <c r="AC279" s="235" t="s">
        <v>566</v>
      </c>
      <c r="AD279" s="235" t="s">
        <v>566</v>
      </c>
      <c r="AE279" s="235">
        <v>0</v>
      </c>
    </row>
    <row r="280" spans="1:31" x14ac:dyDescent="0.25">
      <c r="A280" s="111">
        <v>5904</v>
      </c>
      <c r="B280" s="229" t="s">
        <v>367</v>
      </c>
      <c r="C280" s="376">
        <v>558</v>
      </c>
      <c r="D280" s="379">
        <v>66</v>
      </c>
      <c r="E280" s="238">
        <v>1</v>
      </c>
      <c r="F280" s="234">
        <v>1135814.6499999999</v>
      </c>
      <c r="G280" s="235">
        <v>164007.89000000001</v>
      </c>
      <c r="H280" s="235">
        <v>35352.65</v>
      </c>
      <c r="I280" s="235">
        <v>1199.8</v>
      </c>
      <c r="J280" s="235">
        <v>0</v>
      </c>
      <c r="K280" s="235">
        <v>2850.25</v>
      </c>
      <c r="L280" s="235">
        <v>-6137.55</v>
      </c>
      <c r="M280" s="235"/>
      <c r="N280" s="235">
        <v>3402.98</v>
      </c>
      <c r="O280" s="235">
        <v>104498.9</v>
      </c>
      <c r="P280" s="235">
        <v>15759.55</v>
      </c>
      <c r="Q280" s="235">
        <v>4018.2</v>
      </c>
      <c r="R280" s="235">
        <v>-47.3</v>
      </c>
      <c r="S280" s="235">
        <v>43666.2</v>
      </c>
      <c r="T280" s="235">
        <v>0</v>
      </c>
      <c r="U280" s="235">
        <v>48443.199999999997</v>
      </c>
      <c r="V280" s="235">
        <v>75667.199999999997</v>
      </c>
      <c r="W280" s="236">
        <f t="shared" si="4"/>
        <v>1628496.6199999996</v>
      </c>
      <c r="X280" s="235">
        <v>283</v>
      </c>
      <c r="Y280" s="235">
        <v>0</v>
      </c>
      <c r="Z280" s="237">
        <v>0.10199999999999999</v>
      </c>
      <c r="AA280" s="235">
        <v>64</v>
      </c>
      <c r="AB280" s="235">
        <v>25</v>
      </c>
      <c r="AC280" s="235" t="s">
        <v>566</v>
      </c>
      <c r="AD280" s="235" t="s">
        <v>566</v>
      </c>
      <c r="AE280" s="235">
        <v>1</v>
      </c>
    </row>
    <row r="281" spans="1:31" x14ac:dyDescent="0.25">
      <c r="A281" s="111">
        <v>5905</v>
      </c>
      <c r="B281" s="229" t="s">
        <v>368</v>
      </c>
      <c r="C281" s="376">
        <v>692</v>
      </c>
      <c r="D281" s="379">
        <v>70</v>
      </c>
      <c r="E281" s="238">
        <v>1</v>
      </c>
      <c r="F281" s="234">
        <v>965974.6</v>
      </c>
      <c r="G281" s="235">
        <v>128529.18</v>
      </c>
      <c r="H281" s="235">
        <v>-39563.35</v>
      </c>
      <c r="I281" s="235">
        <v>5282.75</v>
      </c>
      <c r="J281" s="235">
        <v>0</v>
      </c>
      <c r="K281" s="235">
        <v>4903.3</v>
      </c>
      <c r="L281" s="235">
        <v>-11447.15</v>
      </c>
      <c r="M281" s="235"/>
      <c r="N281" s="235">
        <v>-3191.48</v>
      </c>
      <c r="O281" s="235">
        <v>119687</v>
      </c>
      <c r="P281" s="235">
        <v>26546.07</v>
      </c>
      <c r="Q281" s="235">
        <v>3646.65</v>
      </c>
      <c r="R281" s="235">
        <v>-47.8</v>
      </c>
      <c r="S281" s="235">
        <v>7115.05</v>
      </c>
      <c r="T281" s="235">
        <v>0</v>
      </c>
      <c r="U281" s="235">
        <v>183.75</v>
      </c>
      <c r="V281" s="235">
        <v>174126.25</v>
      </c>
      <c r="W281" s="236">
        <f t="shared" si="4"/>
        <v>1381744.82</v>
      </c>
      <c r="X281" s="235">
        <v>897</v>
      </c>
      <c r="Y281" s="235">
        <v>0</v>
      </c>
      <c r="Z281" s="237">
        <v>4.5999999999999999E-2</v>
      </c>
      <c r="AA281" s="235">
        <v>89</v>
      </c>
      <c r="AB281" s="235">
        <v>76</v>
      </c>
      <c r="AC281" s="235" t="s">
        <v>566</v>
      </c>
      <c r="AD281" s="235" t="s">
        <v>566</v>
      </c>
      <c r="AE281" s="235">
        <v>0</v>
      </c>
    </row>
    <row r="282" spans="1:31" x14ac:dyDescent="0.25">
      <c r="A282" s="111">
        <v>5907</v>
      </c>
      <c r="B282" s="229" t="s">
        <v>369</v>
      </c>
      <c r="C282" s="376">
        <v>329</v>
      </c>
      <c r="D282" s="379">
        <v>75</v>
      </c>
      <c r="E282" s="238">
        <v>1</v>
      </c>
      <c r="F282" s="234">
        <v>502765.84</v>
      </c>
      <c r="G282" s="235">
        <v>69806.789999999994</v>
      </c>
      <c r="H282" s="235">
        <v>4405.1499999999996</v>
      </c>
      <c r="I282" s="235">
        <v>785.55</v>
      </c>
      <c r="J282" s="235">
        <v>0</v>
      </c>
      <c r="K282" s="235">
        <v>-3030.86</v>
      </c>
      <c r="L282" s="235">
        <v>-13723.26</v>
      </c>
      <c r="M282" s="235"/>
      <c r="N282" s="235">
        <v>483.25</v>
      </c>
      <c r="O282" s="235">
        <v>55273.5</v>
      </c>
      <c r="P282" s="235">
        <v>3395.43</v>
      </c>
      <c r="Q282" s="235">
        <v>1078.2</v>
      </c>
      <c r="R282" s="235">
        <v>-110.65</v>
      </c>
      <c r="S282" s="235">
        <v>4235</v>
      </c>
      <c r="T282" s="235">
        <v>0</v>
      </c>
      <c r="U282" s="235">
        <v>9829.15</v>
      </c>
      <c r="V282" s="235">
        <v>4879.8</v>
      </c>
      <c r="W282" s="236">
        <f t="shared" si="4"/>
        <v>640072.89000000013</v>
      </c>
      <c r="X282" s="235">
        <v>397</v>
      </c>
      <c r="Y282" s="235">
        <v>0</v>
      </c>
      <c r="Z282" s="237">
        <v>3.9E-2</v>
      </c>
      <c r="AA282" s="235">
        <v>38</v>
      </c>
      <c r="AB282" s="235">
        <v>38</v>
      </c>
      <c r="AC282" s="235" t="s">
        <v>566</v>
      </c>
      <c r="AD282" s="235" t="s">
        <v>566</v>
      </c>
      <c r="AE282" s="235">
        <v>0</v>
      </c>
    </row>
    <row r="283" spans="1:31" x14ac:dyDescent="0.25">
      <c r="A283" s="111">
        <v>5908</v>
      </c>
      <c r="B283" s="229" t="s">
        <v>370</v>
      </c>
      <c r="C283" s="376">
        <v>172</v>
      </c>
      <c r="D283" s="379">
        <v>75</v>
      </c>
      <c r="E283" s="238">
        <v>1</v>
      </c>
      <c r="F283" s="234">
        <v>235480.58</v>
      </c>
      <c r="G283" s="235">
        <v>53313.52</v>
      </c>
      <c r="H283" s="235">
        <v>6780.3</v>
      </c>
      <c r="I283" s="235">
        <v>820.3</v>
      </c>
      <c r="J283" s="235">
        <v>0</v>
      </c>
      <c r="K283" s="235">
        <v>0</v>
      </c>
      <c r="L283" s="235">
        <v>-1075.45</v>
      </c>
      <c r="M283" s="235"/>
      <c r="N283" s="235">
        <v>707.61</v>
      </c>
      <c r="O283" s="235">
        <v>29982.45</v>
      </c>
      <c r="P283" s="235">
        <v>1260.0999999999999</v>
      </c>
      <c r="Q283" s="235">
        <v>92.95</v>
      </c>
      <c r="R283" s="235">
        <v>-423.65</v>
      </c>
      <c r="S283" s="235">
        <v>1782.6</v>
      </c>
      <c r="T283" s="235">
        <v>0</v>
      </c>
      <c r="U283" s="235">
        <v>505.55</v>
      </c>
      <c r="V283" s="235">
        <v>0</v>
      </c>
      <c r="W283" s="236">
        <f t="shared" si="4"/>
        <v>329226.85999999987</v>
      </c>
      <c r="X283" s="235">
        <v>206</v>
      </c>
      <c r="Y283" s="235">
        <v>0</v>
      </c>
      <c r="Z283" s="237">
        <v>9.5000000000000001E-2</v>
      </c>
      <c r="AA283" s="235">
        <v>30</v>
      </c>
      <c r="AB283" s="235">
        <v>30</v>
      </c>
      <c r="AC283" s="235" t="s">
        <v>566</v>
      </c>
      <c r="AD283" s="235" t="s">
        <v>566</v>
      </c>
      <c r="AE283" s="235">
        <v>0</v>
      </c>
    </row>
    <row r="284" spans="1:31" x14ac:dyDescent="0.25">
      <c r="A284" s="111">
        <v>5909</v>
      </c>
      <c r="B284" s="229" t="s">
        <v>371</v>
      </c>
      <c r="C284" s="376">
        <v>745</v>
      </c>
      <c r="D284" s="379">
        <v>67</v>
      </c>
      <c r="E284" s="238">
        <v>1</v>
      </c>
      <c r="F284" s="234">
        <v>1807809.85</v>
      </c>
      <c r="G284" s="235">
        <v>336536.57</v>
      </c>
      <c r="H284" s="235">
        <v>-8157.3</v>
      </c>
      <c r="I284" s="235">
        <v>1615.3</v>
      </c>
      <c r="J284" s="235">
        <v>0</v>
      </c>
      <c r="K284" s="235">
        <v>0</v>
      </c>
      <c r="L284" s="235">
        <v>-1367.38</v>
      </c>
      <c r="M284" s="235"/>
      <c r="N284" s="235">
        <v>-609.04999999999995</v>
      </c>
      <c r="O284" s="235">
        <v>181615.6</v>
      </c>
      <c r="P284" s="235">
        <v>19852.28</v>
      </c>
      <c r="Q284" s="235">
        <v>-1414</v>
      </c>
      <c r="R284" s="235">
        <v>-1706.1</v>
      </c>
      <c r="S284" s="235">
        <v>83798</v>
      </c>
      <c r="T284" s="235">
        <v>54344.1</v>
      </c>
      <c r="U284" s="235">
        <v>59742.9</v>
      </c>
      <c r="V284" s="235">
        <v>12754.4</v>
      </c>
      <c r="W284" s="236">
        <f t="shared" si="4"/>
        <v>2544815.17</v>
      </c>
      <c r="X284" s="235">
        <v>541</v>
      </c>
      <c r="Y284" s="235">
        <v>0</v>
      </c>
      <c r="Z284" s="237">
        <v>7.8E-2</v>
      </c>
      <c r="AA284" s="235">
        <v>88</v>
      </c>
      <c r="AB284" s="235">
        <v>39</v>
      </c>
      <c r="AC284" s="235">
        <v>102704</v>
      </c>
      <c r="AD284" s="235">
        <v>0</v>
      </c>
      <c r="AE284" s="235">
        <v>1</v>
      </c>
    </row>
    <row r="285" spans="1:31" x14ac:dyDescent="0.25">
      <c r="A285" s="111">
        <v>5910</v>
      </c>
      <c r="B285" s="229" t="s">
        <v>372</v>
      </c>
      <c r="C285" s="376">
        <v>432</v>
      </c>
      <c r="D285" s="379">
        <v>75</v>
      </c>
      <c r="E285" s="238">
        <v>1</v>
      </c>
      <c r="F285" s="234">
        <v>579557.22</v>
      </c>
      <c r="G285" s="235">
        <v>94338.64</v>
      </c>
      <c r="H285" s="235">
        <v>-917.5</v>
      </c>
      <c r="I285" s="235">
        <v>1754.65</v>
      </c>
      <c r="J285" s="235">
        <v>0</v>
      </c>
      <c r="K285" s="235">
        <v>2633.79</v>
      </c>
      <c r="L285" s="235">
        <v>526.96</v>
      </c>
      <c r="M285" s="235"/>
      <c r="N285" s="235">
        <v>77.94</v>
      </c>
      <c r="O285" s="235">
        <v>70950.350000000006</v>
      </c>
      <c r="P285" s="235">
        <v>5948.94</v>
      </c>
      <c r="Q285" s="235">
        <v>0</v>
      </c>
      <c r="R285" s="235">
        <v>0</v>
      </c>
      <c r="S285" s="235">
        <v>11550</v>
      </c>
      <c r="T285" s="235">
        <v>0</v>
      </c>
      <c r="U285" s="235">
        <v>50911.65</v>
      </c>
      <c r="V285" s="235">
        <v>0</v>
      </c>
      <c r="W285" s="236">
        <f t="shared" si="4"/>
        <v>817332.6399999999</v>
      </c>
      <c r="X285" s="235">
        <v>655</v>
      </c>
      <c r="Y285" s="235">
        <v>0</v>
      </c>
      <c r="Z285" s="237">
        <v>0.16300000000000001</v>
      </c>
      <c r="AA285" s="235">
        <v>65</v>
      </c>
      <c r="AB285" s="235">
        <v>38</v>
      </c>
      <c r="AC285" s="235" t="s">
        <v>566</v>
      </c>
      <c r="AD285" s="235" t="s">
        <v>566</v>
      </c>
      <c r="AE285" s="235">
        <v>0</v>
      </c>
    </row>
    <row r="286" spans="1:31" x14ac:dyDescent="0.25">
      <c r="A286" s="111">
        <v>5911</v>
      </c>
      <c r="B286" s="229" t="s">
        <v>373</v>
      </c>
      <c r="C286" s="376">
        <v>244</v>
      </c>
      <c r="D286" s="379">
        <v>77</v>
      </c>
      <c r="E286" s="238">
        <v>1</v>
      </c>
      <c r="F286" s="234">
        <v>434176.41</v>
      </c>
      <c r="G286" s="235">
        <v>55427.65</v>
      </c>
      <c r="H286" s="235">
        <v>8368.85</v>
      </c>
      <c r="I286" s="235">
        <v>1403.9</v>
      </c>
      <c r="J286" s="235">
        <v>0</v>
      </c>
      <c r="K286" s="235">
        <v>0</v>
      </c>
      <c r="L286" s="235">
        <v>-290.79000000000002</v>
      </c>
      <c r="M286" s="235"/>
      <c r="N286" s="235">
        <v>909.83</v>
      </c>
      <c r="O286" s="235">
        <v>38600.800000000003</v>
      </c>
      <c r="P286" s="235">
        <v>3668.12</v>
      </c>
      <c r="Q286" s="235">
        <v>2440.0500000000002</v>
      </c>
      <c r="R286" s="235">
        <v>0</v>
      </c>
      <c r="S286" s="235">
        <v>10285</v>
      </c>
      <c r="T286" s="235">
        <v>0</v>
      </c>
      <c r="U286" s="235">
        <v>0</v>
      </c>
      <c r="V286" s="235">
        <v>0</v>
      </c>
      <c r="W286" s="236">
        <f t="shared" si="4"/>
        <v>554989.82000000007</v>
      </c>
      <c r="X286" s="235">
        <v>460</v>
      </c>
      <c r="Y286" s="235">
        <v>0</v>
      </c>
      <c r="Z286" s="237">
        <v>0.13100000000000001</v>
      </c>
      <c r="AA286" s="235">
        <v>32</v>
      </c>
      <c r="AB286" s="235">
        <v>27</v>
      </c>
      <c r="AC286" s="235" t="s">
        <v>566</v>
      </c>
      <c r="AD286" s="235" t="s">
        <v>566</v>
      </c>
      <c r="AE286" s="235">
        <v>0</v>
      </c>
    </row>
    <row r="287" spans="1:31" x14ac:dyDescent="0.25">
      <c r="A287" s="111">
        <v>5912</v>
      </c>
      <c r="B287" s="229" t="s">
        <v>374</v>
      </c>
      <c r="C287" s="376">
        <v>181</v>
      </c>
      <c r="D287" s="379">
        <v>78</v>
      </c>
      <c r="E287" s="238">
        <v>1</v>
      </c>
      <c r="F287" s="234">
        <v>266621.07</v>
      </c>
      <c r="G287" s="235">
        <v>35149.35</v>
      </c>
      <c r="H287" s="235">
        <v>11965.7</v>
      </c>
      <c r="I287" s="235">
        <v>1130.95</v>
      </c>
      <c r="J287" s="235">
        <v>0</v>
      </c>
      <c r="K287" s="235">
        <v>0</v>
      </c>
      <c r="L287" s="235">
        <v>-1134.67</v>
      </c>
      <c r="M287" s="235"/>
      <c r="N287" s="235">
        <v>1219.28</v>
      </c>
      <c r="O287" s="235">
        <v>25948.400000000001</v>
      </c>
      <c r="P287" s="235">
        <v>10533.47</v>
      </c>
      <c r="Q287" s="235">
        <v>0</v>
      </c>
      <c r="R287" s="235">
        <v>0</v>
      </c>
      <c r="S287" s="235">
        <v>8580</v>
      </c>
      <c r="T287" s="235">
        <v>0</v>
      </c>
      <c r="U287" s="235">
        <v>9685.2999999999993</v>
      </c>
      <c r="V287" s="235">
        <v>0</v>
      </c>
      <c r="W287" s="236">
        <f t="shared" si="4"/>
        <v>369698.85000000003</v>
      </c>
      <c r="X287" s="235">
        <v>429</v>
      </c>
      <c r="Y287" s="235">
        <v>133</v>
      </c>
      <c r="Z287" s="237">
        <v>1.7999999999999999E-2</v>
      </c>
      <c r="AA287" s="235">
        <v>35</v>
      </c>
      <c r="AB287" s="235">
        <v>35</v>
      </c>
      <c r="AC287" s="235" t="s">
        <v>566</v>
      </c>
      <c r="AD287" s="235" t="s">
        <v>566</v>
      </c>
      <c r="AE287" s="235">
        <v>0</v>
      </c>
    </row>
    <row r="288" spans="1:31" x14ac:dyDescent="0.25">
      <c r="A288" s="111">
        <v>5913</v>
      </c>
      <c r="B288" s="229" t="s">
        <v>375</v>
      </c>
      <c r="C288" s="376">
        <v>905</v>
      </c>
      <c r="D288" s="379">
        <v>73</v>
      </c>
      <c r="E288" s="238">
        <v>1</v>
      </c>
      <c r="F288" s="234">
        <v>1318472.8999999999</v>
      </c>
      <c r="G288" s="235">
        <v>173821.37</v>
      </c>
      <c r="H288" s="235">
        <v>9377.7999999999993</v>
      </c>
      <c r="I288" s="235">
        <v>674.4</v>
      </c>
      <c r="J288" s="235">
        <v>0</v>
      </c>
      <c r="K288" s="235">
        <v>0</v>
      </c>
      <c r="L288" s="235">
        <v>-16115.07</v>
      </c>
      <c r="M288" s="235"/>
      <c r="N288" s="235">
        <v>935.85</v>
      </c>
      <c r="O288" s="235">
        <v>138992.24</v>
      </c>
      <c r="P288" s="235">
        <v>31621.599999999999</v>
      </c>
      <c r="Q288" s="235">
        <v>1422.7</v>
      </c>
      <c r="R288" s="235">
        <v>-556.85</v>
      </c>
      <c r="S288" s="235">
        <v>30121.85</v>
      </c>
      <c r="T288" s="235">
        <v>55799</v>
      </c>
      <c r="U288" s="235">
        <v>34681</v>
      </c>
      <c r="V288" s="235">
        <v>15784.65</v>
      </c>
      <c r="W288" s="236">
        <f t="shared" si="4"/>
        <v>1795033.44</v>
      </c>
      <c r="X288" s="235">
        <v>893</v>
      </c>
      <c r="Y288" s="235">
        <v>0</v>
      </c>
      <c r="Z288" s="237">
        <v>0.11899999999999999</v>
      </c>
      <c r="AA288" s="235">
        <v>126</v>
      </c>
      <c r="AB288" s="235">
        <v>126</v>
      </c>
      <c r="AC288" s="235" t="s">
        <v>566</v>
      </c>
      <c r="AD288" s="235" t="s">
        <v>566</v>
      </c>
      <c r="AE288" s="235">
        <v>0</v>
      </c>
    </row>
    <row r="289" spans="1:31" x14ac:dyDescent="0.25">
      <c r="A289" s="111">
        <v>5914</v>
      </c>
      <c r="B289" s="229" t="s">
        <v>376</v>
      </c>
      <c r="C289" s="376">
        <v>376</v>
      </c>
      <c r="D289" s="379">
        <v>73.5</v>
      </c>
      <c r="E289" s="238">
        <v>1</v>
      </c>
      <c r="F289" s="234">
        <v>578094.31999999995</v>
      </c>
      <c r="G289" s="235">
        <v>47234.33</v>
      </c>
      <c r="H289" s="235">
        <v>7332.55</v>
      </c>
      <c r="I289" s="235">
        <v>3047.5</v>
      </c>
      <c r="J289" s="235">
        <v>0</v>
      </c>
      <c r="K289" s="235">
        <v>0</v>
      </c>
      <c r="L289" s="235">
        <v>-15227.66</v>
      </c>
      <c r="M289" s="235"/>
      <c r="N289" s="235">
        <v>966.37</v>
      </c>
      <c r="O289" s="235">
        <v>70081.350000000006</v>
      </c>
      <c r="P289" s="235">
        <v>14920.17</v>
      </c>
      <c r="Q289" s="235">
        <v>8054.15</v>
      </c>
      <c r="R289" s="235">
        <v>0</v>
      </c>
      <c r="S289" s="235">
        <v>47790.9</v>
      </c>
      <c r="T289" s="235">
        <v>1226.4000000000001</v>
      </c>
      <c r="U289" s="235">
        <v>59599.15</v>
      </c>
      <c r="V289" s="235">
        <v>62699.85</v>
      </c>
      <c r="W289" s="236">
        <f t="shared" si="4"/>
        <v>885819.38</v>
      </c>
      <c r="X289" s="235">
        <v>469</v>
      </c>
      <c r="Y289" s="235">
        <v>0</v>
      </c>
      <c r="Z289" s="237">
        <v>0.08</v>
      </c>
      <c r="AA289" s="235">
        <v>53</v>
      </c>
      <c r="AB289" s="235">
        <v>26</v>
      </c>
      <c r="AC289" s="235" t="s">
        <v>566</v>
      </c>
      <c r="AD289" s="235" t="s">
        <v>566</v>
      </c>
      <c r="AE289" s="235">
        <v>1</v>
      </c>
    </row>
    <row r="290" spans="1:31" x14ac:dyDescent="0.25">
      <c r="A290" s="111">
        <v>5919</v>
      </c>
      <c r="B290" s="229" t="s">
        <v>377</v>
      </c>
      <c r="C290" s="376">
        <v>740</v>
      </c>
      <c r="D290" s="379">
        <v>72</v>
      </c>
      <c r="E290" s="238">
        <v>1.2</v>
      </c>
      <c r="F290" s="234">
        <v>1243893.78</v>
      </c>
      <c r="G290" s="235">
        <v>174832.94</v>
      </c>
      <c r="H290" s="235">
        <v>42808.7</v>
      </c>
      <c r="I290" s="235">
        <v>14400.65</v>
      </c>
      <c r="J290" s="235">
        <v>0</v>
      </c>
      <c r="K290" s="235">
        <v>6776.43</v>
      </c>
      <c r="L290" s="235">
        <v>-27875.06</v>
      </c>
      <c r="M290" s="235"/>
      <c r="N290" s="235">
        <v>5326.11</v>
      </c>
      <c r="O290" s="235">
        <v>174638.3</v>
      </c>
      <c r="P290" s="235">
        <v>52635.56</v>
      </c>
      <c r="Q290" s="235">
        <v>14514.95</v>
      </c>
      <c r="R290" s="235">
        <v>-523.45000000000005</v>
      </c>
      <c r="S290" s="235">
        <v>91075.45</v>
      </c>
      <c r="T290" s="235">
        <v>78501.2</v>
      </c>
      <c r="U290" s="235">
        <v>20223.55</v>
      </c>
      <c r="V290" s="235">
        <v>45413.2</v>
      </c>
      <c r="W290" s="236">
        <f t="shared" si="4"/>
        <v>1936642.3099999998</v>
      </c>
      <c r="X290" s="235">
        <v>648</v>
      </c>
      <c r="Y290" s="235">
        <v>0</v>
      </c>
      <c r="Z290" s="237">
        <v>2.5000000000000001E-2</v>
      </c>
      <c r="AA290" s="235">
        <v>70</v>
      </c>
      <c r="AB290" s="235">
        <v>70</v>
      </c>
      <c r="AC290" s="235" t="s">
        <v>566</v>
      </c>
      <c r="AD290" s="235" t="s">
        <v>566</v>
      </c>
      <c r="AE290" s="235">
        <v>1</v>
      </c>
    </row>
    <row r="291" spans="1:31" x14ac:dyDescent="0.25">
      <c r="A291" s="111">
        <v>5921</v>
      </c>
      <c r="B291" s="229" t="s">
        <v>378</v>
      </c>
      <c r="C291" s="376">
        <v>260</v>
      </c>
      <c r="D291" s="379">
        <v>81</v>
      </c>
      <c r="E291" s="238">
        <v>1</v>
      </c>
      <c r="F291" s="234">
        <v>386243.22</v>
      </c>
      <c r="G291" s="235">
        <v>82206.05</v>
      </c>
      <c r="H291" s="235">
        <v>4920.1499999999996</v>
      </c>
      <c r="I291" s="235">
        <v>2241.5500000000002</v>
      </c>
      <c r="J291" s="235">
        <v>0</v>
      </c>
      <c r="K291" s="235">
        <v>1882.24</v>
      </c>
      <c r="L291" s="235">
        <v>-9883.23</v>
      </c>
      <c r="M291" s="235"/>
      <c r="N291" s="235">
        <v>666.74</v>
      </c>
      <c r="O291" s="235">
        <v>42713.3</v>
      </c>
      <c r="P291" s="235">
        <v>25244.76</v>
      </c>
      <c r="Q291" s="235">
        <v>0</v>
      </c>
      <c r="R291" s="235">
        <v>0</v>
      </c>
      <c r="S291" s="235">
        <v>25320.5</v>
      </c>
      <c r="T291" s="235">
        <v>1845</v>
      </c>
      <c r="U291" s="235">
        <v>33710.65</v>
      </c>
      <c r="V291" s="235">
        <v>5872.95</v>
      </c>
      <c r="W291" s="236">
        <f t="shared" si="4"/>
        <v>602983.87999999989</v>
      </c>
      <c r="X291" s="235">
        <v>552</v>
      </c>
      <c r="Y291" s="235">
        <v>0</v>
      </c>
      <c r="Z291" s="237">
        <v>0.13900000000000001</v>
      </c>
      <c r="AA291" s="235">
        <v>42</v>
      </c>
      <c r="AB291" s="235">
        <v>42</v>
      </c>
      <c r="AC291" s="235" t="s">
        <v>566</v>
      </c>
      <c r="AD291" s="235" t="s">
        <v>566</v>
      </c>
      <c r="AE291" s="235">
        <v>0</v>
      </c>
    </row>
    <row r="292" spans="1:31" x14ac:dyDescent="0.25">
      <c r="A292" s="111">
        <v>5922</v>
      </c>
      <c r="B292" s="229" t="s">
        <v>379</v>
      </c>
      <c r="C292" s="376">
        <v>768</v>
      </c>
      <c r="D292" s="379">
        <v>64.5</v>
      </c>
      <c r="E292" s="238">
        <v>0.8</v>
      </c>
      <c r="F292" s="234">
        <v>1274969.68</v>
      </c>
      <c r="G292" s="235">
        <v>197893.18</v>
      </c>
      <c r="H292" s="235">
        <v>493849.45</v>
      </c>
      <c r="I292" s="235">
        <v>40216.35</v>
      </c>
      <c r="J292" s="235">
        <v>0</v>
      </c>
      <c r="K292" s="235">
        <v>17815.169999999998</v>
      </c>
      <c r="L292" s="235">
        <v>-29517.45</v>
      </c>
      <c r="M292" s="235"/>
      <c r="N292" s="235">
        <v>49720.78</v>
      </c>
      <c r="O292" s="235">
        <v>298545.05</v>
      </c>
      <c r="P292" s="235">
        <v>147874.54999999999</v>
      </c>
      <c r="Q292" s="235">
        <v>39244</v>
      </c>
      <c r="R292" s="235">
        <v>-1256.5999999999999</v>
      </c>
      <c r="S292" s="235">
        <v>95533.85</v>
      </c>
      <c r="T292" s="235">
        <v>51876</v>
      </c>
      <c r="U292" s="235">
        <v>67212.75</v>
      </c>
      <c r="V292" s="235">
        <v>524935.94999999995</v>
      </c>
      <c r="W292" s="236">
        <f t="shared" si="4"/>
        <v>3268912.71</v>
      </c>
      <c r="X292" s="235">
        <v>348</v>
      </c>
      <c r="Y292" s="235">
        <v>0</v>
      </c>
      <c r="Z292" s="237">
        <v>0.06</v>
      </c>
      <c r="AA292" s="235">
        <v>84</v>
      </c>
      <c r="AB292" s="235">
        <v>53</v>
      </c>
      <c r="AC292" s="235">
        <v>296541</v>
      </c>
      <c r="AD292" s="235">
        <v>0</v>
      </c>
      <c r="AE292" s="235">
        <v>0</v>
      </c>
    </row>
    <row r="293" spans="1:31" x14ac:dyDescent="0.25">
      <c r="A293" s="111">
        <v>5923</v>
      </c>
      <c r="B293" s="229" t="s">
        <v>380</v>
      </c>
      <c r="C293" s="376">
        <v>201</v>
      </c>
      <c r="D293" s="379">
        <v>79</v>
      </c>
      <c r="E293" s="238">
        <v>1</v>
      </c>
      <c r="F293" s="234">
        <v>345598.48</v>
      </c>
      <c r="G293" s="235">
        <v>37721.17</v>
      </c>
      <c r="H293" s="235">
        <v>2776.25</v>
      </c>
      <c r="I293" s="235">
        <v>1861</v>
      </c>
      <c r="J293" s="235">
        <v>0</v>
      </c>
      <c r="K293" s="235">
        <v>0</v>
      </c>
      <c r="L293" s="235">
        <v>-934.64</v>
      </c>
      <c r="M293" s="235"/>
      <c r="N293" s="235">
        <v>431.72</v>
      </c>
      <c r="O293" s="235">
        <v>27547.7</v>
      </c>
      <c r="P293" s="235">
        <v>16118.91</v>
      </c>
      <c r="Q293" s="235">
        <v>0</v>
      </c>
      <c r="R293" s="235">
        <v>0</v>
      </c>
      <c r="S293" s="235">
        <v>9642.6</v>
      </c>
      <c r="T293" s="235">
        <v>0</v>
      </c>
      <c r="U293" s="235">
        <v>0</v>
      </c>
      <c r="V293" s="235">
        <v>29797.55</v>
      </c>
      <c r="W293" s="236">
        <f t="shared" si="4"/>
        <v>470560.73999999987</v>
      </c>
      <c r="X293" s="235">
        <v>358</v>
      </c>
      <c r="Y293" s="235">
        <v>0</v>
      </c>
      <c r="Z293" s="237">
        <v>0.107</v>
      </c>
      <c r="AA293" s="235">
        <v>26</v>
      </c>
      <c r="AB293" s="235">
        <v>18</v>
      </c>
      <c r="AC293" s="235" t="s">
        <v>566</v>
      </c>
      <c r="AD293" s="235" t="s">
        <v>566</v>
      </c>
      <c r="AE293" s="235">
        <v>0</v>
      </c>
    </row>
    <row r="294" spans="1:31" x14ac:dyDescent="0.25">
      <c r="A294" s="111">
        <v>5924</v>
      </c>
      <c r="B294" s="229" t="s">
        <v>381</v>
      </c>
      <c r="C294" s="376">
        <v>416</v>
      </c>
      <c r="D294" s="379">
        <v>74</v>
      </c>
      <c r="E294" s="238">
        <v>1</v>
      </c>
      <c r="F294" s="234">
        <v>984176.46</v>
      </c>
      <c r="G294" s="235">
        <v>104785.15</v>
      </c>
      <c r="H294" s="235">
        <v>24092.400000000001</v>
      </c>
      <c r="I294" s="235">
        <v>3532.5</v>
      </c>
      <c r="J294" s="235">
        <v>0</v>
      </c>
      <c r="K294" s="235">
        <v>0</v>
      </c>
      <c r="L294" s="235">
        <v>-1450.18</v>
      </c>
      <c r="M294" s="235"/>
      <c r="N294" s="235">
        <v>2571.84</v>
      </c>
      <c r="O294" s="235">
        <v>82547.100000000006</v>
      </c>
      <c r="P294" s="235">
        <v>11877.28</v>
      </c>
      <c r="Q294" s="235">
        <v>0</v>
      </c>
      <c r="R294" s="235">
        <v>0</v>
      </c>
      <c r="S294" s="235">
        <v>59993.4</v>
      </c>
      <c r="T294" s="235">
        <v>0</v>
      </c>
      <c r="U294" s="235">
        <v>64651.45</v>
      </c>
      <c r="V294" s="235">
        <v>55185.95</v>
      </c>
      <c r="W294" s="236">
        <f t="shared" si="4"/>
        <v>1391963.3499999999</v>
      </c>
      <c r="X294" s="235">
        <v>405</v>
      </c>
      <c r="Y294" s="235">
        <v>0</v>
      </c>
      <c r="Z294" s="237">
        <v>1.2999999999999999E-2</v>
      </c>
      <c r="AA294" s="235">
        <v>49</v>
      </c>
      <c r="AB294" s="235">
        <v>42</v>
      </c>
      <c r="AC294" s="235" t="s">
        <v>566</v>
      </c>
      <c r="AD294" s="235" t="s">
        <v>566</v>
      </c>
      <c r="AE294" s="235">
        <v>0</v>
      </c>
    </row>
    <row r="295" spans="1:31" x14ac:dyDescent="0.25">
      <c r="A295" s="111">
        <v>5925</v>
      </c>
      <c r="B295" s="229" t="s">
        <v>382</v>
      </c>
      <c r="C295" s="376">
        <v>216</v>
      </c>
      <c r="D295" s="379">
        <v>79</v>
      </c>
      <c r="E295" s="238">
        <v>1</v>
      </c>
      <c r="F295" s="234">
        <v>367080.12</v>
      </c>
      <c r="G295" s="235">
        <v>66601.97</v>
      </c>
      <c r="H295" s="235">
        <v>588.20000000000005</v>
      </c>
      <c r="I295" s="235">
        <v>1811.35</v>
      </c>
      <c r="J295" s="235">
        <v>0</v>
      </c>
      <c r="K295" s="235">
        <v>2177.34</v>
      </c>
      <c r="L295" s="235">
        <v>-419.5</v>
      </c>
      <c r="M295" s="235"/>
      <c r="N295" s="235">
        <v>223.39</v>
      </c>
      <c r="O295" s="235">
        <v>36444.65</v>
      </c>
      <c r="P295" s="235">
        <v>3697.02</v>
      </c>
      <c r="Q295" s="235">
        <v>0</v>
      </c>
      <c r="R295" s="235">
        <v>0</v>
      </c>
      <c r="S295" s="235">
        <v>71829.95</v>
      </c>
      <c r="T295" s="235">
        <v>235125</v>
      </c>
      <c r="U295" s="235">
        <v>29903.7</v>
      </c>
      <c r="V295" s="235">
        <v>7528.55</v>
      </c>
      <c r="W295" s="236">
        <f t="shared" si="4"/>
        <v>822591.74</v>
      </c>
      <c r="X295" s="235">
        <v>420</v>
      </c>
      <c r="Y295" s="235">
        <v>0</v>
      </c>
      <c r="Z295" s="237">
        <v>6.3E-2</v>
      </c>
      <c r="AA295" s="235">
        <v>20</v>
      </c>
      <c r="AB295" s="235">
        <v>20</v>
      </c>
      <c r="AC295" s="235" t="s">
        <v>566</v>
      </c>
      <c r="AD295" s="235" t="s">
        <v>566</v>
      </c>
      <c r="AE295" s="235">
        <v>0</v>
      </c>
    </row>
    <row r="296" spans="1:31" x14ac:dyDescent="0.25">
      <c r="A296" s="111">
        <v>5926</v>
      </c>
      <c r="B296" s="229" t="s">
        <v>383</v>
      </c>
      <c r="C296" s="376">
        <v>904</v>
      </c>
      <c r="D296" s="379">
        <v>71</v>
      </c>
      <c r="E296" s="238">
        <v>1</v>
      </c>
      <c r="F296" s="234">
        <v>1635533.63</v>
      </c>
      <c r="G296" s="235">
        <v>233875.03</v>
      </c>
      <c r="H296" s="235">
        <v>63461.599999999999</v>
      </c>
      <c r="I296" s="235">
        <v>3411.25</v>
      </c>
      <c r="J296" s="235">
        <v>0</v>
      </c>
      <c r="K296" s="235">
        <v>0</v>
      </c>
      <c r="L296" s="235">
        <v>-40186.879999999997</v>
      </c>
      <c r="M296" s="235"/>
      <c r="N296" s="235">
        <v>6225.77</v>
      </c>
      <c r="O296" s="235">
        <v>155409.15</v>
      </c>
      <c r="P296" s="235">
        <v>31796.81</v>
      </c>
      <c r="Q296" s="235">
        <v>0</v>
      </c>
      <c r="R296" s="235">
        <v>-940.1</v>
      </c>
      <c r="S296" s="235">
        <v>70124.399999999994</v>
      </c>
      <c r="T296" s="235">
        <v>25936.3</v>
      </c>
      <c r="U296" s="235">
        <v>37668.800000000003</v>
      </c>
      <c r="V296" s="235">
        <v>29532.5</v>
      </c>
      <c r="W296" s="236">
        <f t="shared" si="4"/>
        <v>2251848.2599999998</v>
      </c>
      <c r="X296" s="235">
        <v>559</v>
      </c>
      <c r="Y296" s="235">
        <v>0</v>
      </c>
      <c r="Z296" s="237">
        <v>3.6999999999999998E-2</v>
      </c>
      <c r="AA296" s="235">
        <v>138</v>
      </c>
      <c r="AB296" s="235">
        <v>86</v>
      </c>
      <c r="AC296" s="235" t="s">
        <v>566</v>
      </c>
      <c r="AD296" s="235" t="s">
        <v>566</v>
      </c>
      <c r="AE296" s="235">
        <v>1</v>
      </c>
    </row>
    <row r="297" spans="1:31" x14ac:dyDescent="0.25">
      <c r="A297" s="111">
        <v>5928</v>
      </c>
      <c r="B297" s="229" t="s">
        <v>384</v>
      </c>
      <c r="C297" s="376">
        <v>198</v>
      </c>
      <c r="D297" s="379">
        <v>73</v>
      </c>
      <c r="E297" s="238">
        <v>1</v>
      </c>
      <c r="F297" s="234">
        <v>278876.7</v>
      </c>
      <c r="G297" s="235">
        <v>34846.129999999997</v>
      </c>
      <c r="H297" s="235">
        <v>26826.5</v>
      </c>
      <c r="I297" s="235">
        <v>934.05</v>
      </c>
      <c r="J297" s="235">
        <v>0</v>
      </c>
      <c r="K297" s="235">
        <v>0</v>
      </c>
      <c r="L297" s="235">
        <v>-8826.93</v>
      </c>
      <c r="M297" s="235"/>
      <c r="N297" s="235">
        <v>2584.4699999999998</v>
      </c>
      <c r="O297" s="235">
        <v>29902.05</v>
      </c>
      <c r="P297" s="235">
        <v>7278.19</v>
      </c>
      <c r="Q297" s="235">
        <v>0</v>
      </c>
      <c r="R297" s="235">
        <v>0</v>
      </c>
      <c r="S297" s="235">
        <v>0</v>
      </c>
      <c r="T297" s="235">
        <v>0</v>
      </c>
      <c r="U297" s="235">
        <v>0</v>
      </c>
      <c r="V297" s="235">
        <v>0</v>
      </c>
      <c r="W297" s="236">
        <f t="shared" si="4"/>
        <v>372421.16</v>
      </c>
      <c r="X297" s="235">
        <v>322</v>
      </c>
      <c r="Y297" s="235">
        <v>0</v>
      </c>
      <c r="Z297" s="237">
        <v>7.9000000000000001E-2</v>
      </c>
      <c r="AA297" s="235">
        <v>37</v>
      </c>
      <c r="AB297" s="235">
        <v>37</v>
      </c>
      <c r="AC297" s="235" t="s">
        <v>566</v>
      </c>
      <c r="AD297" s="235" t="s">
        <v>566</v>
      </c>
      <c r="AE297" s="235">
        <v>0</v>
      </c>
    </row>
    <row r="298" spans="1:31" x14ac:dyDescent="0.25">
      <c r="A298" s="111">
        <v>5929</v>
      </c>
      <c r="B298" s="229" t="s">
        <v>385</v>
      </c>
      <c r="C298" s="376">
        <v>672</v>
      </c>
      <c r="D298" s="379">
        <v>70</v>
      </c>
      <c r="E298" s="238">
        <v>0.8</v>
      </c>
      <c r="F298" s="234">
        <v>1255111.75</v>
      </c>
      <c r="G298" s="235">
        <v>125104.5</v>
      </c>
      <c r="H298" s="235">
        <v>55565.1</v>
      </c>
      <c r="I298" s="235">
        <v>1752.35</v>
      </c>
      <c r="J298" s="235">
        <v>70205.3</v>
      </c>
      <c r="K298" s="235">
        <v>117.05</v>
      </c>
      <c r="L298" s="235">
        <v>-21234.03</v>
      </c>
      <c r="M298" s="235"/>
      <c r="N298" s="235">
        <v>5336.17</v>
      </c>
      <c r="O298" s="235">
        <v>100892.35</v>
      </c>
      <c r="P298" s="235">
        <v>11235.08</v>
      </c>
      <c r="Q298" s="235">
        <v>0</v>
      </c>
      <c r="R298" s="235">
        <v>-12.7</v>
      </c>
      <c r="S298" s="235">
        <v>58823.9</v>
      </c>
      <c r="T298" s="235">
        <v>8024.9</v>
      </c>
      <c r="U298" s="235">
        <v>22857.65</v>
      </c>
      <c r="V298" s="235">
        <v>18198.7</v>
      </c>
      <c r="W298" s="236">
        <f t="shared" si="4"/>
        <v>1711978.07</v>
      </c>
      <c r="X298" s="235">
        <v>665</v>
      </c>
      <c r="Y298" s="235">
        <v>0</v>
      </c>
      <c r="Z298" s="237">
        <v>3.3000000000000002E-2</v>
      </c>
      <c r="AA298" s="235">
        <v>102</v>
      </c>
      <c r="AB298" s="235">
        <v>101</v>
      </c>
      <c r="AC298" s="235" t="s">
        <v>566</v>
      </c>
      <c r="AD298" s="235" t="s">
        <v>566</v>
      </c>
      <c r="AE298" s="235">
        <v>1</v>
      </c>
    </row>
    <row r="299" spans="1:31" x14ac:dyDescent="0.25">
      <c r="A299" s="111">
        <v>5930</v>
      </c>
      <c r="B299" s="229" t="s">
        <v>386</v>
      </c>
      <c r="C299" s="376">
        <v>263</v>
      </c>
      <c r="D299" s="379">
        <v>72</v>
      </c>
      <c r="E299" s="238">
        <v>1</v>
      </c>
      <c r="F299" s="234">
        <v>401384.65</v>
      </c>
      <c r="G299" s="235">
        <v>37893.56</v>
      </c>
      <c r="H299" s="235">
        <v>3514.95</v>
      </c>
      <c r="I299" s="235">
        <v>1573.65</v>
      </c>
      <c r="J299" s="235">
        <v>0</v>
      </c>
      <c r="K299" s="235">
        <v>0</v>
      </c>
      <c r="L299" s="235">
        <v>-6805.35</v>
      </c>
      <c r="M299" s="235"/>
      <c r="N299" s="235">
        <v>473.74</v>
      </c>
      <c r="O299" s="235">
        <v>33589.949999999997</v>
      </c>
      <c r="P299" s="235">
        <v>20884.8</v>
      </c>
      <c r="Q299" s="235">
        <v>1003.85</v>
      </c>
      <c r="R299" s="235">
        <v>-108.6</v>
      </c>
      <c r="S299" s="235">
        <v>33084.65</v>
      </c>
      <c r="T299" s="235">
        <v>0</v>
      </c>
      <c r="U299" s="235">
        <v>11164.75</v>
      </c>
      <c r="V299" s="235">
        <v>0</v>
      </c>
      <c r="W299" s="236">
        <f t="shared" si="4"/>
        <v>537654.60000000009</v>
      </c>
      <c r="X299" s="235">
        <v>398</v>
      </c>
      <c r="Y299" s="235">
        <v>0</v>
      </c>
      <c r="Z299" s="237">
        <v>1.9E-2</v>
      </c>
      <c r="AA299" s="235">
        <v>33</v>
      </c>
      <c r="AB299" s="235">
        <v>33</v>
      </c>
      <c r="AC299" s="235" t="s">
        <v>566</v>
      </c>
      <c r="AD299" s="235" t="s">
        <v>566</v>
      </c>
      <c r="AE299" s="235">
        <v>1</v>
      </c>
    </row>
    <row r="300" spans="1:31" x14ac:dyDescent="0.25">
      <c r="A300" s="111">
        <v>5931</v>
      </c>
      <c r="B300" s="229" t="s">
        <v>387</v>
      </c>
      <c r="C300" s="376">
        <v>518</v>
      </c>
      <c r="D300" s="379">
        <v>73</v>
      </c>
      <c r="E300" s="238">
        <v>1</v>
      </c>
      <c r="F300" s="234">
        <v>795982.22</v>
      </c>
      <c r="G300" s="235">
        <v>108174.91</v>
      </c>
      <c r="H300" s="235">
        <v>60815.35</v>
      </c>
      <c r="I300" s="235">
        <v>3667.8</v>
      </c>
      <c r="J300" s="235">
        <v>0</v>
      </c>
      <c r="K300" s="235">
        <v>4679.21</v>
      </c>
      <c r="L300" s="235">
        <v>-8781.17</v>
      </c>
      <c r="M300" s="235"/>
      <c r="N300" s="235">
        <v>6003.29</v>
      </c>
      <c r="O300" s="235">
        <v>93208.15</v>
      </c>
      <c r="P300" s="235">
        <v>29659.48</v>
      </c>
      <c r="Q300" s="235">
        <v>1351.4</v>
      </c>
      <c r="R300" s="235">
        <v>-53.05</v>
      </c>
      <c r="S300" s="235">
        <v>54010</v>
      </c>
      <c r="T300" s="235">
        <v>0</v>
      </c>
      <c r="U300" s="235">
        <v>42701.15</v>
      </c>
      <c r="V300" s="235">
        <v>18214.7</v>
      </c>
      <c r="W300" s="236">
        <f t="shared" si="4"/>
        <v>1209633.4399999997</v>
      </c>
      <c r="X300" s="235">
        <v>204</v>
      </c>
      <c r="Y300" s="235">
        <v>0</v>
      </c>
      <c r="Z300" s="237">
        <v>1.7999999999999999E-2</v>
      </c>
      <c r="AA300" s="235">
        <v>57</v>
      </c>
      <c r="AB300" s="235">
        <v>13</v>
      </c>
      <c r="AC300" s="235" t="s">
        <v>566</v>
      </c>
      <c r="AD300" s="235" t="s">
        <v>566</v>
      </c>
      <c r="AE300" s="235">
        <v>1</v>
      </c>
    </row>
    <row r="301" spans="1:31" x14ac:dyDescent="0.25">
      <c r="A301" s="111">
        <v>5932</v>
      </c>
      <c r="B301" s="229" t="s">
        <v>102</v>
      </c>
      <c r="C301" s="376">
        <v>227</v>
      </c>
      <c r="D301" s="379">
        <v>75</v>
      </c>
      <c r="E301" s="238">
        <v>1</v>
      </c>
      <c r="F301" s="234">
        <v>616819.49</v>
      </c>
      <c r="G301" s="235">
        <v>64412.51</v>
      </c>
      <c r="H301" s="235">
        <v>1933.35</v>
      </c>
      <c r="I301" s="235">
        <v>1384.95</v>
      </c>
      <c r="J301" s="235">
        <v>49480.45</v>
      </c>
      <c r="K301" s="235">
        <v>0</v>
      </c>
      <c r="L301" s="235">
        <v>-19886.34</v>
      </c>
      <c r="M301" s="235"/>
      <c r="N301" s="235">
        <v>308.93</v>
      </c>
      <c r="O301" s="235">
        <v>35500.800000000003</v>
      </c>
      <c r="P301" s="235">
        <v>10538.86</v>
      </c>
      <c r="Q301" s="235">
        <v>819.5</v>
      </c>
      <c r="R301" s="235">
        <v>-550.45000000000005</v>
      </c>
      <c r="S301" s="235">
        <v>19736.849999999999</v>
      </c>
      <c r="T301" s="235">
        <v>0</v>
      </c>
      <c r="U301" s="235">
        <v>21752.400000000001</v>
      </c>
      <c r="V301" s="235">
        <v>0</v>
      </c>
      <c r="W301" s="236">
        <f t="shared" si="4"/>
        <v>802251.3</v>
      </c>
      <c r="X301" s="235">
        <v>339</v>
      </c>
      <c r="Y301" s="235">
        <v>0</v>
      </c>
      <c r="Z301" s="237">
        <v>1.7000000000000001E-2</v>
      </c>
      <c r="AA301" s="235">
        <v>20</v>
      </c>
      <c r="AB301" s="235">
        <v>20</v>
      </c>
      <c r="AC301" s="235" t="s">
        <v>566</v>
      </c>
      <c r="AD301" s="235" t="s">
        <v>566</v>
      </c>
      <c r="AE301" s="235">
        <v>0</v>
      </c>
    </row>
    <row r="302" spans="1:31" x14ac:dyDescent="0.25">
      <c r="A302" s="111">
        <v>5933</v>
      </c>
      <c r="B302" s="229" t="s">
        <v>388</v>
      </c>
      <c r="C302" s="376">
        <v>717</v>
      </c>
      <c r="D302" s="379">
        <v>70.5</v>
      </c>
      <c r="E302" s="238">
        <v>1</v>
      </c>
      <c r="F302" s="234">
        <v>1412703.62</v>
      </c>
      <c r="G302" s="235">
        <v>220961.75</v>
      </c>
      <c r="H302" s="235">
        <v>46705.35</v>
      </c>
      <c r="I302" s="235">
        <v>2456.1</v>
      </c>
      <c r="J302" s="235">
        <v>0</v>
      </c>
      <c r="K302" s="235">
        <v>3871.66</v>
      </c>
      <c r="L302" s="235">
        <v>-18311.650000000001</v>
      </c>
      <c r="M302" s="235"/>
      <c r="N302" s="235">
        <v>4576.8599999999997</v>
      </c>
      <c r="O302" s="235">
        <v>135185.75</v>
      </c>
      <c r="P302" s="235">
        <v>11228.73</v>
      </c>
      <c r="Q302" s="235">
        <v>4722.05</v>
      </c>
      <c r="R302" s="235">
        <v>-33.299999999999997</v>
      </c>
      <c r="S302" s="235">
        <v>77400.399999999994</v>
      </c>
      <c r="T302" s="235">
        <v>9.1999999999999993</v>
      </c>
      <c r="U302" s="235">
        <v>57231.05</v>
      </c>
      <c r="V302" s="235">
        <v>24760.85</v>
      </c>
      <c r="W302" s="236">
        <f t="shared" si="4"/>
        <v>1983468.4200000004</v>
      </c>
      <c r="X302" s="235">
        <v>225</v>
      </c>
      <c r="Y302" s="235">
        <v>0</v>
      </c>
      <c r="Z302" s="237">
        <v>6.8000000000000005E-2</v>
      </c>
      <c r="AA302" s="235">
        <v>71</v>
      </c>
      <c r="AB302" s="235">
        <v>23</v>
      </c>
      <c r="AC302" s="235" t="s">
        <v>566</v>
      </c>
      <c r="AD302" s="235" t="s">
        <v>566</v>
      </c>
      <c r="AE302" s="235">
        <v>0</v>
      </c>
    </row>
    <row r="303" spans="1:31" x14ac:dyDescent="0.25">
      <c r="A303" s="111">
        <v>5934</v>
      </c>
      <c r="B303" s="229" t="s">
        <v>389</v>
      </c>
      <c r="C303" s="376">
        <v>225</v>
      </c>
      <c r="D303" s="379">
        <v>77</v>
      </c>
      <c r="E303" s="238">
        <v>1</v>
      </c>
      <c r="F303" s="234">
        <v>446990.99</v>
      </c>
      <c r="G303" s="235">
        <v>40611.58</v>
      </c>
      <c r="H303" s="235">
        <v>2247.6</v>
      </c>
      <c r="I303" s="235">
        <v>896.35</v>
      </c>
      <c r="J303" s="235">
        <v>0</v>
      </c>
      <c r="K303" s="235">
        <v>0</v>
      </c>
      <c r="L303" s="235">
        <v>-8028.37</v>
      </c>
      <c r="M303" s="235"/>
      <c r="N303" s="235">
        <v>292.7</v>
      </c>
      <c r="O303" s="235">
        <v>34078.699999999997</v>
      </c>
      <c r="P303" s="235">
        <v>10213.780000000001</v>
      </c>
      <c r="Q303" s="235">
        <v>1963.5</v>
      </c>
      <c r="R303" s="235">
        <v>-108.75</v>
      </c>
      <c r="S303" s="235">
        <v>9432.5</v>
      </c>
      <c r="T303" s="235">
        <v>3795</v>
      </c>
      <c r="U303" s="235">
        <v>1125</v>
      </c>
      <c r="V303" s="235">
        <v>0</v>
      </c>
      <c r="W303" s="236">
        <f t="shared" si="4"/>
        <v>543510.57999999996</v>
      </c>
      <c r="X303" s="235">
        <v>286</v>
      </c>
      <c r="Y303" s="235">
        <v>0</v>
      </c>
      <c r="Z303" s="237">
        <v>0.08</v>
      </c>
      <c r="AA303" s="235">
        <v>21</v>
      </c>
      <c r="AB303" s="235">
        <v>21</v>
      </c>
      <c r="AC303" s="235" t="s">
        <v>566</v>
      </c>
      <c r="AD303" s="235" t="s">
        <v>566</v>
      </c>
      <c r="AE303" s="235">
        <v>0</v>
      </c>
    </row>
    <row r="304" spans="1:31" x14ac:dyDescent="0.25">
      <c r="A304" s="111">
        <v>5935</v>
      </c>
      <c r="B304" s="229" t="s">
        <v>390</v>
      </c>
      <c r="C304" s="376">
        <v>109</v>
      </c>
      <c r="D304" s="379">
        <v>68</v>
      </c>
      <c r="E304" s="238">
        <v>1</v>
      </c>
      <c r="F304" s="234">
        <v>294534.14</v>
      </c>
      <c r="G304" s="235">
        <v>127362.56</v>
      </c>
      <c r="H304" s="235">
        <v>13743.75</v>
      </c>
      <c r="I304" s="235">
        <v>1322.65</v>
      </c>
      <c r="J304" s="235">
        <v>0</v>
      </c>
      <c r="K304" s="235">
        <v>84.9</v>
      </c>
      <c r="L304" s="235">
        <v>-17624.89</v>
      </c>
      <c r="M304" s="235"/>
      <c r="N304" s="235">
        <v>1402.66</v>
      </c>
      <c r="O304" s="235">
        <v>24417.4</v>
      </c>
      <c r="P304" s="235">
        <v>1265.42</v>
      </c>
      <c r="Q304" s="235">
        <v>0</v>
      </c>
      <c r="R304" s="235">
        <v>-1466.35</v>
      </c>
      <c r="S304" s="235">
        <v>30250</v>
      </c>
      <c r="T304" s="235">
        <v>0</v>
      </c>
      <c r="U304" s="235">
        <v>42369.45</v>
      </c>
      <c r="V304" s="235">
        <v>0</v>
      </c>
      <c r="W304" s="236">
        <f t="shared" si="4"/>
        <v>517661.69000000006</v>
      </c>
      <c r="X304" s="235">
        <v>88</v>
      </c>
      <c r="Y304" s="235">
        <v>0</v>
      </c>
      <c r="Z304" s="237">
        <v>1.9E-2</v>
      </c>
      <c r="AA304" s="235">
        <v>13</v>
      </c>
      <c r="AB304" s="235">
        <v>13</v>
      </c>
      <c r="AC304" s="235" t="s">
        <v>566</v>
      </c>
      <c r="AD304" s="235" t="s">
        <v>566</v>
      </c>
      <c r="AE304" s="235">
        <v>0</v>
      </c>
    </row>
    <row r="305" spans="1:31" x14ac:dyDescent="0.25">
      <c r="A305" s="111">
        <v>5937</v>
      </c>
      <c r="B305" s="229" t="s">
        <v>391</v>
      </c>
      <c r="C305" s="376">
        <v>142</v>
      </c>
      <c r="D305" s="379">
        <v>70</v>
      </c>
      <c r="E305" s="238">
        <v>0.7</v>
      </c>
      <c r="F305" s="234">
        <v>167043.47</v>
      </c>
      <c r="G305" s="235">
        <v>35372.769999999997</v>
      </c>
      <c r="H305" s="235">
        <v>11623.55</v>
      </c>
      <c r="I305" s="235">
        <v>685</v>
      </c>
      <c r="J305" s="235">
        <v>0</v>
      </c>
      <c r="K305" s="235">
        <v>0</v>
      </c>
      <c r="L305" s="235">
        <v>-5450.04</v>
      </c>
      <c r="M305" s="235"/>
      <c r="N305" s="235">
        <v>1145.9100000000001</v>
      </c>
      <c r="O305" s="235">
        <v>14271.39</v>
      </c>
      <c r="P305" s="235">
        <v>10720.64</v>
      </c>
      <c r="Q305" s="235">
        <v>0</v>
      </c>
      <c r="R305" s="235">
        <v>0</v>
      </c>
      <c r="S305" s="235">
        <v>0</v>
      </c>
      <c r="T305" s="235">
        <v>0</v>
      </c>
      <c r="U305" s="235">
        <v>0</v>
      </c>
      <c r="V305" s="235">
        <v>2693.45</v>
      </c>
      <c r="W305" s="236">
        <f t="shared" si="4"/>
        <v>238106.14</v>
      </c>
      <c r="X305" s="235">
        <v>303</v>
      </c>
      <c r="Y305" s="235">
        <v>0</v>
      </c>
      <c r="Z305" s="237">
        <v>0.52900000000000003</v>
      </c>
      <c r="AA305" s="235">
        <v>10</v>
      </c>
      <c r="AB305" s="235">
        <v>10</v>
      </c>
      <c r="AC305" s="235" t="s">
        <v>566</v>
      </c>
      <c r="AD305" s="235" t="s">
        <v>566</v>
      </c>
      <c r="AE305" s="235">
        <v>0</v>
      </c>
    </row>
    <row r="306" spans="1:31" x14ac:dyDescent="0.25">
      <c r="A306" s="111">
        <v>5938</v>
      </c>
      <c r="B306" s="229" t="s">
        <v>103</v>
      </c>
      <c r="C306" s="376">
        <v>30600</v>
      </c>
      <c r="D306" s="379">
        <v>75</v>
      </c>
      <c r="E306" s="238">
        <v>1.5</v>
      </c>
      <c r="F306" s="234">
        <v>41459093.649999999</v>
      </c>
      <c r="G306" s="235">
        <v>4780032.42</v>
      </c>
      <c r="H306" s="235">
        <v>4258131.8499999996</v>
      </c>
      <c r="I306" s="235">
        <v>782111.35</v>
      </c>
      <c r="J306" s="235">
        <v>0</v>
      </c>
      <c r="K306" s="235">
        <v>426917.49</v>
      </c>
      <c r="L306" s="235">
        <v>-1272176.17</v>
      </c>
      <c r="M306" s="235"/>
      <c r="N306" s="235">
        <v>469117.31</v>
      </c>
      <c r="O306" s="235">
        <v>7566414.3499999996</v>
      </c>
      <c r="P306" s="235">
        <v>2414086.85</v>
      </c>
      <c r="Q306" s="235">
        <v>701691</v>
      </c>
      <c r="R306" s="235">
        <v>-15576.66</v>
      </c>
      <c r="S306" s="235">
        <v>1387528.25</v>
      </c>
      <c r="T306" s="235">
        <v>1431554.4</v>
      </c>
      <c r="U306" s="235">
        <v>5746514.1500000004</v>
      </c>
      <c r="V306" s="235">
        <v>7963901.5</v>
      </c>
      <c r="W306" s="236">
        <f t="shared" si="4"/>
        <v>78099341.74000001</v>
      </c>
      <c r="X306" s="235">
        <v>1279</v>
      </c>
      <c r="Y306" s="235">
        <v>0</v>
      </c>
      <c r="Z306" s="237">
        <v>6.4000000000000001E-2</v>
      </c>
      <c r="AA306" s="235">
        <v>3633</v>
      </c>
      <c r="AB306" s="235">
        <v>96</v>
      </c>
      <c r="AC306" s="235">
        <v>6444929</v>
      </c>
      <c r="AD306" s="235">
        <v>0</v>
      </c>
      <c r="AE306" s="235">
        <v>1</v>
      </c>
    </row>
    <row r="307" spans="1:31" x14ac:dyDescent="0.25">
      <c r="A307" s="113">
        <v>5939</v>
      </c>
      <c r="B307" s="230" t="s">
        <v>392</v>
      </c>
      <c r="C307" s="377">
        <v>3536</v>
      </c>
      <c r="D307" s="380">
        <v>73</v>
      </c>
      <c r="E307" s="239">
        <v>1</v>
      </c>
      <c r="F307" s="234">
        <v>5396034.4400000004</v>
      </c>
      <c r="G307" s="235">
        <v>738592.4</v>
      </c>
      <c r="H307" s="235">
        <v>93794.6</v>
      </c>
      <c r="I307" s="235">
        <v>32324.7</v>
      </c>
      <c r="J307" s="235">
        <v>0</v>
      </c>
      <c r="K307" s="235">
        <v>11893.19</v>
      </c>
      <c r="L307" s="235">
        <v>-115121.56</v>
      </c>
      <c r="M307" s="235"/>
      <c r="N307" s="235">
        <v>11741.53</v>
      </c>
      <c r="O307" s="235">
        <v>628496.4</v>
      </c>
      <c r="P307" s="235">
        <v>87978.48</v>
      </c>
      <c r="Q307" s="235">
        <v>58538.35</v>
      </c>
      <c r="R307" s="235">
        <v>-657.9</v>
      </c>
      <c r="S307" s="235">
        <v>224610.05</v>
      </c>
      <c r="T307" s="235">
        <v>612161.4</v>
      </c>
      <c r="U307" s="235">
        <v>272710.95</v>
      </c>
      <c r="V307" s="235">
        <v>260626.8</v>
      </c>
      <c r="W307" s="236">
        <f t="shared" si="4"/>
        <v>8313723.8300000019</v>
      </c>
      <c r="X307" s="235">
        <v>1294</v>
      </c>
      <c r="Y307" s="235">
        <v>0</v>
      </c>
      <c r="Z307" s="237">
        <v>0.13300000000000001</v>
      </c>
      <c r="AA307" s="235">
        <v>474</v>
      </c>
      <c r="AB307" s="235">
        <v>37</v>
      </c>
      <c r="AC307" s="235" t="s">
        <v>566</v>
      </c>
      <c r="AD307" s="235" t="s">
        <v>566</v>
      </c>
      <c r="AE307" s="235">
        <v>0</v>
      </c>
    </row>
    <row r="308" spans="1:31" x14ac:dyDescent="0.25">
      <c r="A308" s="497" t="s">
        <v>25</v>
      </c>
      <c r="B308" s="498"/>
      <c r="C308" s="258">
        <f>SUM(C8:C307)</f>
        <v>864226</v>
      </c>
      <c r="D308" s="258" t="s">
        <v>26</v>
      </c>
      <c r="E308" s="258" t="s">
        <v>26</v>
      </c>
      <c r="F308" s="262">
        <f>SUM(F8:F307)</f>
        <v>1823507466.6000009</v>
      </c>
      <c r="G308" s="262">
        <f>SUM(G8:G307)</f>
        <v>367521442.95000005</v>
      </c>
      <c r="H308" s="262">
        <f>SUM(H8:H307)</f>
        <v>415574976.04999995</v>
      </c>
      <c r="I308" s="262">
        <f>SUM(I8:I307)</f>
        <v>34463012.899999969</v>
      </c>
      <c r="J308" s="262">
        <f>SUM(J8:J307)</f>
        <v>43203504.680000007</v>
      </c>
      <c r="K308" s="262">
        <f t="shared" ref="K308:AE308" si="5">SUM(K8:K307)</f>
        <v>8475688.1299999952</v>
      </c>
      <c r="L308" s="262">
        <f t="shared" si="5"/>
        <v>-34090560.859999992</v>
      </c>
      <c r="M308" s="262">
        <f t="shared" si="5"/>
        <v>0</v>
      </c>
      <c r="N308" s="262">
        <f t="shared" si="5"/>
        <v>40590297.160000004</v>
      </c>
      <c r="O308" s="262">
        <f t="shared" si="5"/>
        <v>251870041.20000008</v>
      </c>
      <c r="P308" s="262">
        <f t="shared" si="5"/>
        <v>82474339.519999996</v>
      </c>
      <c r="Q308" s="262">
        <f t="shared" si="5"/>
        <v>22404856.950000003</v>
      </c>
      <c r="R308" s="262">
        <f t="shared" si="5"/>
        <v>-20160323.930000007</v>
      </c>
      <c r="S308" s="262">
        <f t="shared" si="5"/>
        <v>120102569.05</v>
      </c>
      <c r="T308" s="262">
        <f t="shared" si="5"/>
        <v>171022826.5</v>
      </c>
      <c r="U308" s="262">
        <f t="shared" si="5"/>
        <v>91194673.850000054</v>
      </c>
      <c r="V308" s="262">
        <f t="shared" si="5"/>
        <v>103718603.65000001</v>
      </c>
      <c r="W308" s="262">
        <f>SUM(W8:W307)</f>
        <v>3521873414.3999987</v>
      </c>
      <c r="X308" s="262">
        <f t="shared" si="5"/>
        <v>269771</v>
      </c>
      <c r="Y308" s="262">
        <f t="shared" si="5"/>
        <v>91542</v>
      </c>
      <c r="Z308" s="281" t="s">
        <v>26</v>
      </c>
      <c r="AA308" s="262">
        <f t="shared" si="5"/>
        <v>95192</v>
      </c>
      <c r="AB308" s="262">
        <f t="shared" si="5"/>
        <v>19300</v>
      </c>
      <c r="AC308" s="262">
        <f t="shared" si="5"/>
        <v>166909162.92999998</v>
      </c>
      <c r="AD308" s="262">
        <f>SUM(AD8:AD307)</f>
        <v>-21205367.943140864</v>
      </c>
      <c r="AE308" s="262">
        <f t="shared" si="5"/>
        <v>49</v>
      </c>
    </row>
    <row r="310" spans="1:31" x14ac:dyDescent="0.25">
      <c r="A310" s="431" t="s">
        <v>576</v>
      </c>
      <c r="B310" s="431" t="s">
        <v>577</v>
      </c>
      <c r="C310" s="439" t="s">
        <v>586</v>
      </c>
      <c r="D310" s="439" t="s">
        <v>587</v>
      </c>
      <c r="E310" s="439" t="s">
        <v>21</v>
      </c>
      <c r="F310" s="492" t="s">
        <v>588</v>
      </c>
      <c r="G310" s="493"/>
      <c r="H310" s="493"/>
      <c r="I310" s="493"/>
      <c r="J310" s="493"/>
      <c r="K310" s="493"/>
      <c r="L310" s="493"/>
      <c r="M310" s="493"/>
      <c r="N310" s="494"/>
      <c r="O310" s="195" t="s">
        <v>21</v>
      </c>
      <c r="P310" s="195" t="s">
        <v>574</v>
      </c>
    </row>
    <row r="311" spans="1:31" x14ac:dyDescent="0.25">
      <c r="A311" s="422">
        <v>8000</v>
      </c>
      <c r="B311" s="228" t="s">
        <v>567</v>
      </c>
      <c r="C311" s="378">
        <v>58.5</v>
      </c>
      <c r="D311" s="432">
        <v>8</v>
      </c>
      <c r="E311" s="432">
        <f>58.5+8</f>
        <v>66.5</v>
      </c>
      <c r="F311" s="423">
        <v>3076406.31</v>
      </c>
      <c r="G311" s="424">
        <v>408202.61</v>
      </c>
      <c r="H311" s="424">
        <v>4991864.0999999996</v>
      </c>
      <c r="I311" s="424">
        <v>67275.95</v>
      </c>
      <c r="J311" s="424">
        <v>0</v>
      </c>
      <c r="K311" s="424">
        <v>5254.66</v>
      </c>
      <c r="L311" s="424">
        <v>-49258.76</v>
      </c>
      <c r="M311" s="424"/>
      <c r="N311" s="424">
        <v>1227416.32</v>
      </c>
      <c r="O311" s="397">
        <f t="shared" ref="O311:O317" si="6">SUM(F311:N311)</f>
        <v>9727161.1899999995</v>
      </c>
      <c r="P311" s="397">
        <f t="shared" ref="P311:P317" si="7">O311/E311</f>
        <v>146273.10060150374</v>
      </c>
    </row>
    <row r="312" spans="1:31" x14ac:dyDescent="0.25">
      <c r="A312" s="425">
        <v>8001</v>
      </c>
      <c r="B312" s="229" t="s">
        <v>568</v>
      </c>
      <c r="C312" s="379">
        <v>58.5</v>
      </c>
      <c r="D312" s="433">
        <v>8</v>
      </c>
      <c r="E312" s="433">
        <f>58.5+8</f>
        <v>66.5</v>
      </c>
      <c r="F312" s="234">
        <v>2317732.85</v>
      </c>
      <c r="G312" s="235">
        <v>363674.35</v>
      </c>
      <c r="H312" s="235">
        <v>8004268.2999999998</v>
      </c>
      <c r="I312" s="235">
        <v>-122213.4</v>
      </c>
      <c r="J312" s="235">
        <v>0</v>
      </c>
      <c r="K312" s="235">
        <v>18053.38</v>
      </c>
      <c r="L312" s="235">
        <v>-28570.1</v>
      </c>
      <c r="M312" s="235"/>
      <c r="N312" s="235">
        <v>0</v>
      </c>
      <c r="O312" s="397">
        <f t="shared" si="6"/>
        <v>10552945.380000001</v>
      </c>
      <c r="P312" s="397">
        <f t="shared" si="7"/>
        <v>158690.90796992483</v>
      </c>
    </row>
    <row r="313" spans="1:31" x14ac:dyDescent="0.25">
      <c r="A313" s="425">
        <v>8002</v>
      </c>
      <c r="B313" s="229" t="s">
        <v>569</v>
      </c>
      <c r="C313" s="379">
        <v>58.5</v>
      </c>
      <c r="D313" s="433">
        <v>10</v>
      </c>
      <c r="E313" s="433">
        <f>58.5+10</f>
        <v>68.5</v>
      </c>
      <c r="F313" s="234">
        <v>1040742.06</v>
      </c>
      <c r="G313" s="235">
        <v>149158.31</v>
      </c>
      <c r="H313" s="235">
        <v>154469.9</v>
      </c>
      <c r="I313" s="235">
        <v>54427.1</v>
      </c>
      <c r="J313" s="235">
        <v>0</v>
      </c>
      <c r="K313" s="235">
        <v>9852.69</v>
      </c>
      <c r="L313" s="235">
        <v>-18681.73</v>
      </c>
      <c r="M313" s="235"/>
      <c r="N313" s="235">
        <v>0</v>
      </c>
      <c r="O313" s="397">
        <f t="shared" si="6"/>
        <v>1389968.33</v>
      </c>
      <c r="P313" s="397">
        <f t="shared" si="7"/>
        <v>20291.508467153286</v>
      </c>
    </row>
    <row r="314" spans="1:31" x14ac:dyDescent="0.25">
      <c r="A314" s="425">
        <v>8003</v>
      </c>
      <c r="B314" s="229" t="s">
        <v>570</v>
      </c>
      <c r="C314" s="379">
        <v>58.5</v>
      </c>
      <c r="D314" s="433">
        <v>0</v>
      </c>
      <c r="E314" s="433">
        <f>58.5</f>
        <v>58.5</v>
      </c>
      <c r="F314" s="234">
        <v>507467.85</v>
      </c>
      <c r="G314" s="235">
        <v>91794.41</v>
      </c>
      <c r="H314" s="235">
        <v>32578.25</v>
      </c>
      <c r="I314" s="235">
        <v>1377.4</v>
      </c>
      <c r="J314" s="235">
        <v>0</v>
      </c>
      <c r="K314" s="235">
        <v>11146.36</v>
      </c>
      <c r="L314" s="235">
        <v>-7272.23</v>
      </c>
      <c r="M314" s="235"/>
      <c r="N314" s="235">
        <v>0</v>
      </c>
      <c r="O314" s="397">
        <f t="shared" si="6"/>
        <v>637092.04</v>
      </c>
      <c r="P314" s="397">
        <f t="shared" si="7"/>
        <v>10890.462222222222</v>
      </c>
    </row>
    <row r="315" spans="1:31" x14ac:dyDescent="0.25">
      <c r="A315" s="425">
        <v>8010</v>
      </c>
      <c r="B315" s="229" t="s">
        <v>571</v>
      </c>
      <c r="C315" s="379">
        <v>76</v>
      </c>
      <c r="D315" s="433">
        <v>0</v>
      </c>
      <c r="E315" s="433">
        <v>76</v>
      </c>
      <c r="F315" s="234">
        <v>1056274.97</v>
      </c>
      <c r="G315" s="235">
        <v>169945.78</v>
      </c>
      <c r="H315" s="235">
        <v>-1099.4000000000001</v>
      </c>
      <c r="I315" s="235">
        <v>628.25</v>
      </c>
      <c r="J315" s="235">
        <v>0</v>
      </c>
      <c r="K315" s="235">
        <v>0</v>
      </c>
      <c r="L315" s="235">
        <v>-12621.98</v>
      </c>
      <c r="M315" s="235"/>
      <c r="N315" s="235">
        <v>0</v>
      </c>
      <c r="O315" s="397">
        <f t="shared" si="6"/>
        <v>1213127.6200000001</v>
      </c>
      <c r="P315" s="397">
        <f t="shared" si="7"/>
        <v>15962.205526315791</v>
      </c>
    </row>
    <row r="316" spans="1:31" x14ac:dyDescent="0.25">
      <c r="A316" s="425">
        <v>8011</v>
      </c>
      <c r="B316" s="229" t="s">
        <v>572</v>
      </c>
      <c r="C316" s="379">
        <v>76</v>
      </c>
      <c r="D316" s="433">
        <v>0</v>
      </c>
      <c r="E316" s="433">
        <v>76</v>
      </c>
      <c r="F316" s="234">
        <v>729836.72</v>
      </c>
      <c r="G316" s="235">
        <v>166204.32999999999</v>
      </c>
      <c r="H316" s="235">
        <v>73688.25</v>
      </c>
      <c r="I316" s="235">
        <v>10381.25</v>
      </c>
      <c r="J316" s="235">
        <v>0</v>
      </c>
      <c r="K316" s="235">
        <v>1671.17</v>
      </c>
      <c r="L316" s="235">
        <v>-2728.4</v>
      </c>
      <c r="M316" s="235"/>
      <c r="N316" s="235">
        <v>10265.26</v>
      </c>
      <c r="O316" s="397">
        <f t="shared" si="6"/>
        <v>989318.58</v>
      </c>
      <c r="P316" s="397">
        <f t="shared" si="7"/>
        <v>13017.349736842105</v>
      </c>
    </row>
    <row r="317" spans="1:31" x14ac:dyDescent="0.25">
      <c r="A317" s="426">
        <v>8012</v>
      </c>
      <c r="B317" s="230" t="s">
        <v>573</v>
      </c>
      <c r="C317" s="380">
        <v>76</v>
      </c>
      <c r="D317" s="434">
        <v>3</v>
      </c>
      <c r="E317" s="434">
        <f>76+3</f>
        <v>79</v>
      </c>
      <c r="F317" s="427">
        <v>1138852.22</v>
      </c>
      <c r="G317" s="428">
        <v>200869.16</v>
      </c>
      <c r="H317" s="428">
        <v>23056.5</v>
      </c>
      <c r="I317" s="428">
        <v>3607.35</v>
      </c>
      <c r="J317" s="428">
        <v>0</v>
      </c>
      <c r="K317" s="428">
        <v>3415.92</v>
      </c>
      <c r="L317" s="428">
        <v>-30719.84</v>
      </c>
      <c r="M317" s="428"/>
      <c r="N317" s="235">
        <v>0</v>
      </c>
      <c r="O317" s="397">
        <f t="shared" si="6"/>
        <v>1339081.3099999998</v>
      </c>
      <c r="P317" s="398">
        <f t="shared" si="7"/>
        <v>16950.396329113923</v>
      </c>
      <c r="Q317" s="438" t="s">
        <v>578</v>
      </c>
    </row>
    <row r="318" spans="1:31" x14ac:dyDescent="0.25">
      <c r="N318" s="436" t="s">
        <v>354</v>
      </c>
      <c r="O318" s="412">
        <f>SUM(O311:O314)</f>
        <v>22307166.939999998</v>
      </c>
      <c r="P318" s="412">
        <f>SUM(P311:P314)</f>
        <v>336145.97926080413</v>
      </c>
      <c r="Q318" s="437">
        <f>O318/P318</f>
        <v>66.361546221835468</v>
      </c>
    </row>
    <row r="319" spans="1:31" x14ac:dyDescent="0.25">
      <c r="N319" s="436" t="s">
        <v>353</v>
      </c>
      <c r="O319" s="412">
        <f>SUM(O315:O317)</f>
        <v>3541527.51</v>
      </c>
      <c r="P319" s="412">
        <f>SUM(P315:P317)</f>
        <v>45929.95159227182</v>
      </c>
      <c r="Q319" s="437">
        <f>O319/P319</f>
        <v>77.107146583535652</v>
      </c>
    </row>
  </sheetData>
  <sheetProtection sheet="1" objects="1" scenarios="1"/>
  <mergeCells count="6">
    <mergeCell ref="F310:N310"/>
    <mergeCell ref="A6:A7"/>
    <mergeCell ref="B6:B7"/>
    <mergeCell ref="A308:B308"/>
    <mergeCell ref="D1:E1"/>
    <mergeCell ref="G1:H1"/>
  </mergeCells>
  <hyperlinks>
    <hyperlink ref="C1" location="Paramètres!A1" display="← Précédent" xr:uid="{8CB90A7A-16F3-4772-B584-7F62EE6AFB32}"/>
    <hyperlink ref="D1:E1" location="'Table des matières'!A1" display="Table des matières" xr:uid="{FC4F2057-2D77-41D6-A268-6D545B74DE23}"/>
    <hyperlink ref="F1" location="RFS!A1" display="Suivant →" xr:uid="{CA9BCCB3-793E-42E0-A99F-EA026E985258}"/>
  </hyperlinks>
  <pageMargins left="0.70866141732283472" right="0.70866141732283472" top="0.74803149606299213" bottom="0.74803149606299213" header="0.31496062992125984" footer="0.31496062992125984"/>
  <pageSetup paperSize="9" scale="34" fitToHeight="0" orientation="landscape" r:id="rId1"/>
  <ignoredErrors>
    <ignoredError sqref="X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C5057-9B7A-4893-95A8-03DA460FB186}">
  <sheetPr codeName="Feuil2">
    <tabColor theme="0" tint="-4.9989318521683403E-2"/>
    <pageSetUpPr fitToPage="1"/>
  </sheetPr>
  <dimension ref="A1:Z308"/>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4.7109375" style="1" bestFit="1" customWidth="1"/>
    <col min="3" max="3" width="12.85546875" style="1" customWidth="1"/>
    <col min="4" max="4" width="7.28515625" style="1" bestFit="1" customWidth="1"/>
    <col min="5" max="5" width="7.42578125" style="1" bestFit="1" customWidth="1"/>
    <col min="6" max="6" width="15.7109375" style="1" customWidth="1"/>
    <col min="7" max="8" width="13.28515625" style="1" bestFit="1" customWidth="1"/>
    <col min="9" max="10" width="12.140625" style="1" bestFit="1" customWidth="1"/>
    <col min="11" max="11" width="17.85546875" style="1" customWidth="1"/>
    <col min="12" max="12" width="12.85546875" style="1" bestFit="1" customWidth="1"/>
    <col min="13" max="13" width="11.140625" style="1" bestFit="1" customWidth="1"/>
    <col min="14" max="14" width="12.140625" style="1" bestFit="1" customWidth="1"/>
    <col min="15" max="15" width="13.28515625" style="1" bestFit="1" customWidth="1"/>
    <col min="16" max="17" width="12.140625" style="1" bestFit="1" customWidth="1"/>
    <col min="18" max="18" width="14.5703125" style="1" customWidth="1"/>
    <col min="19" max="19" width="2.85546875" style="1" customWidth="1"/>
    <col min="20" max="20" width="16" style="1" customWidth="1"/>
    <col min="21" max="21" width="13.42578125" style="1" bestFit="1" customWidth="1"/>
    <col min="22" max="22" width="12.140625" style="1" bestFit="1" customWidth="1"/>
    <col min="23" max="23" width="14.85546875" style="1" bestFit="1" customWidth="1"/>
    <col min="24" max="24" width="8.42578125" style="1" bestFit="1" customWidth="1"/>
    <col min="25" max="25" width="9.85546875" style="1" bestFit="1" customWidth="1"/>
    <col min="26" max="16384" width="11.42578125" style="1"/>
  </cols>
  <sheetData>
    <row r="1" spans="1:26" ht="26.25" x14ac:dyDescent="0.25">
      <c r="A1" s="8" t="s">
        <v>65</v>
      </c>
      <c r="F1" s="96" t="s">
        <v>441</v>
      </c>
      <c r="G1" s="98" t="s">
        <v>442</v>
      </c>
      <c r="H1" s="99" t="s">
        <v>443</v>
      </c>
      <c r="I1" s="77"/>
    </row>
    <row r="2" spans="1:26" ht="15" customHeight="1" x14ac:dyDescent="0.25">
      <c r="A2" s="47" t="str">
        <f>_xlfn.CONCAT(Paramètres!M5," ",Paramètres!N5)</f>
        <v>Décompte final 2025</v>
      </c>
      <c r="E2" s="16"/>
      <c r="N2" s="57"/>
      <c r="R2" s="58"/>
      <c r="T2" s="501" t="s">
        <v>56</v>
      </c>
      <c r="U2" s="503" t="s">
        <v>19</v>
      </c>
      <c r="W2" s="57"/>
      <c r="X2" s="57"/>
      <c r="Y2" s="57"/>
      <c r="Z2" s="57"/>
    </row>
    <row r="3" spans="1:26" ht="15" customHeight="1" x14ac:dyDescent="0.25">
      <c r="N3" s="57"/>
      <c r="R3" s="58"/>
      <c r="T3" s="502"/>
      <c r="U3" s="504"/>
      <c r="W3" s="57"/>
      <c r="X3" s="57"/>
      <c r="Y3" s="57"/>
      <c r="Z3" s="57"/>
    </row>
    <row r="4" spans="1:26" ht="15" customHeight="1" x14ac:dyDescent="0.25">
      <c r="H4" s="16"/>
      <c r="I4" s="16"/>
      <c r="N4" s="17"/>
      <c r="R4" s="58"/>
      <c r="T4" s="79" cm="1">
        <f t="array" ref="T4">SUM(F308:N308)/(SUMPRODUCT(F8:F307/D8:D307)+SUMPRODUCT(G8:G307/D8:D307)+SUMPRODUCT(H8:H307/D8:D307)+SUMPRODUCT(I8:I307/D8:D307)+SUMPRODUCT(J8:J307/D8:D307)+SUMPRODUCT(K8:K307/D8:D307)+SUMPRODUCT(L8:L307/D8:D307)+SUMPRODUCT(M8:M307/D8:D307)+SUMPRODUCT(N8:N307/D8:D307))</f>
        <v>67.313676189020896</v>
      </c>
      <c r="U4" s="121">
        <f>Paramètres!C7</f>
        <v>1</v>
      </c>
    </row>
    <row r="5" spans="1:26" ht="15" customHeight="1" x14ac:dyDescent="0.25">
      <c r="A5" s="59"/>
      <c r="B5" s="59"/>
      <c r="C5" s="59"/>
      <c r="D5" s="59"/>
      <c r="E5" s="59"/>
      <c r="N5" s="17"/>
      <c r="R5" s="58"/>
    </row>
    <row r="6" spans="1:26" x14ac:dyDescent="0.25">
      <c r="A6" s="495" t="s">
        <v>0</v>
      </c>
      <c r="B6" s="495" t="s">
        <v>1</v>
      </c>
      <c r="C6" s="495" t="s">
        <v>29</v>
      </c>
      <c r="D6" s="501" t="s">
        <v>15</v>
      </c>
      <c r="E6" s="503" t="s">
        <v>9</v>
      </c>
      <c r="F6" s="501" t="s">
        <v>3</v>
      </c>
      <c r="G6" s="501" t="s">
        <v>4</v>
      </c>
      <c r="H6" s="501" t="s">
        <v>5</v>
      </c>
      <c r="I6" s="501" t="s">
        <v>6</v>
      </c>
      <c r="J6" s="501" t="s">
        <v>7</v>
      </c>
      <c r="K6" s="513" t="s">
        <v>608</v>
      </c>
      <c r="L6" s="501" t="s">
        <v>44</v>
      </c>
      <c r="M6" s="501" t="s">
        <v>590</v>
      </c>
      <c r="N6" s="501" t="s">
        <v>527</v>
      </c>
      <c r="O6" s="503" t="s">
        <v>9</v>
      </c>
      <c r="P6" s="505" t="s">
        <v>8</v>
      </c>
      <c r="Q6" s="505" t="s">
        <v>55</v>
      </c>
      <c r="R6" s="505" t="s">
        <v>439</v>
      </c>
      <c r="T6" s="501" t="s">
        <v>18</v>
      </c>
      <c r="U6" s="503" t="s">
        <v>17</v>
      </c>
      <c r="V6" s="505" t="s">
        <v>27</v>
      </c>
      <c r="W6" s="507" t="s">
        <v>57</v>
      </c>
      <c r="X6" s="508"/>
      <c r="Y6" s="509"/>
    </row>
    <row r="7" spans="1:26" ht="30" x14ac:dyDescent="0.25">
      <c r="A7" s="512"/>
      <c r="B7" s="512"/>
      <c r="C7" s="496"/>
      <c r="D7" s="502"/>
      <c r="E7" s="504"/>
      <c r="F7" s="502"/>
      <c r="G7" s="502"/>
      <c r="H7" s="502"/>
      <c r="I7" s="502"/>
      <c r="J7" s="502"/>
      <c r="K7" s="514"/>
      <c r="L7" s="502"/>
      <c r="M7" s="502"/>
      <c r="N7" s="502"/>
      <c r="O7" s="504"/>
      <c r="P7" s="506"/>
      <c r="Q7" s="506"/>
      <c r="R7" s="506"/>
      <c r="T7" s="502"/>
      <c r="U7" s="504"/>
      <c r="V7" s="506"/>
      <c r="W7" s="191" t="s">
        <v>21</v>
      </c>
      <c r="X7" s="191" t="s">
        <v>16</v>
      </c>
      <c r="Y7" s="191" t="s">
        <v>401</v>
      </c>
    </row>
    <row r="8" spans="1:26" x14ac:dyDescent="0.25">
      <c r="A8" s="110">
        <f>Données!A8</f>
        <v>5401</v>
      </c>
      <c r="B8" s="118" t="str">
        <f>Données!B8</f>
        <v>Aigle</v>
      </c>
      <c r="C8" s="240">
        <f>Données!C8</f>
        <v>12081</v>
      </c>
      <c r="D8" s="241">
        <f>Données!D8</f>
        <v>66</v>
      </c>
      <c r="E8" s="242">
        <f>Données!E8</f>
        <v>1.2</v>
      </c>
      <c r="F8" s="243">
        <f>Données!F8</f>
        <v>12555242.880000001</v>
      </c>
      <c r="G8" s="243">
        <f>Données!G8</f>
        <v>2054757.31</v>
      </c>
      <c r="H8" s="243">
        <f>Données!H8</f>
        <v>1229989.25</v>
      </c>
      <c r="I8" s="243">
        <f>Données!I8</f>
        <v>183487.05</v>
      </c>
      <c r="J8" s="243">
        <f>Données!J8</f>
        <v>14702.45</v>
      </c>
      <c r="K8" s="243">
        <f>Données!K8</f>
        <v>74292.78</v>
      </c>
      <c r="L8" s="243">
        <f>Données!L8</f>
        <v>-328207.07</v>
      </c>
      <c r="M8" s="243">
        <f>Données!M8</f>
        <v>0</v>
      </c>
      <c r="N8" s="243">
        <f>Données!N8</f>
        <v>131322.67000000001</v>
      </c>
      <c r="O8" s="243">
        <f>Données!O8</f>
        <v>2646492.75</v>
      </c>
      <c r="P8" s="243">
        <f>Données!P8</f>
        <v>856244.48</v>
      </c>
      <c r="Q8" s="243">
        <f>Données!Q8</f>
        <v>369224.6</v>
      </c>
      <c r="R8" s="243">
        <f>Données!R8</f>
        <v>-8553.65</v>
      </c>
      <c r="S8" s="244"/>
      <c r="T8" s="245">
        <f>(SUM(F8:N8)/D8*$T$4)</f>
        <v>16232374.109341923</v>
      </c>
      <c r="U8" s="246">
        <f t="shared" ref="U8:U71" si="0">O8/E8*$U$4</f>
        <v>2205410.625</v>
      </c>
      <c r="V8" s="246">
        <f t="shared" ref="V8:V71" si="1">SUM(P8:R8)</f>
        <v>1216915.4300000002</v>
      </c>
      <c r="W8" s="247">
        <f>SUM(T8:V8)</f>
        <v>19654700.164341923</v>
      </c>
      <c r="X8" s="245">
        <f>W8/C8</f>
        <v>1626.910037607973</v>
      </c>
      <c r="Y8" s="248">
        <f>X8/$X$308</f>
        <v>0.46983404003435297</v>
      </c>
    </row>
    <row r="9" spans="1:26" x14ac:dyDescent="0.25">
      <c r="A9" s="111">
        <f>Données!A9</f>
        <v>5402</v>
      </c>
      <c r="B9" s="119" t="str">
        <f>Données!B9</f>
        <v>Bex</v>
      </c>
      <c r="C9" s="249">
        <f>Données!C9</f>
        <v>8923</v>
      </c>
      <c r="D9" s="250">
        <f>Données!D9</f>
        <v>71</v>
      </c>
      <c r="E9" s="251">
        <f>Données!E9</f>
        <v>1.25</v>
      </c>
      <c r="F9" s="252">
        <f>Données!F9</f>
        <v>10464849.85</v>
      </c>
      <c r="G9" s="252">
        <f>Données!G9</f>
        <v>1498217.96</v>
      </c>
      <c r="H9" s="252">
        <f>Données!H9</f>
        <v>602967.65</v>
      </c>
      <c r="I9" s="252">
        <f>Données!I9</f>
        <v>-473.100000000009</v>
      </c>
      <c r="J9" s="252">
        <f>Données!J9</f>
        <v>-58991.5</v>
      </c>
      <c r="K9" s="252">
        <f>Données!K9</f>
        <v>50519.49</v>
      </c>
      <c r="L9" s="252">
        <f>Données!L9</f>
        <v>-367349.79</v>
      </c>
      <c r="M9" s="252">
        <f>Données!M9</f>
        <v>0</v>
      </c>
      <c r="N9" s="252">
        <f>Données!N9</f>
        <v>56091.4</v>
      </c>
      <c r="O9" s="252">
        <f>Données!O9</f>
        <v>1971828.15</v>
      </c>
      <c r="P9" s="252">
        <f>Données!P9</f>
        <v>544387.68000000005</v>
      </c>
      <c r="Q9" s="252">
        <f>Données!Q9</f>
        <v>87719.3</v>
      </c>
      <c r="R9" s="252">
        <f>Données!R9</f>
        <v>-2839.56</v>
      </c>
      <c r="S9" s="244"/>
      <c r="T9" s="236">
        <f t="shared" ref="T9:T71" si="2">(SUM(F9:N9)/D9*$T$4)</f>
        <v>11610027.70733244</v>
      </c>
      <c r="U9" s="253">
        <f t="shared" si="0"/>
        <v>1577462.52</v>
      </c>
      <c r="V9" s="253">
        <f t="shared" si="1"/>
        <v>629267.42000000004</v>
      </c>
      <c r="W9" s="254">
        <f t="shared" ref="W9:W71" si="3">SUM(T9:V9)</f>
        <v>13816757.647332439</v>
      </c>
      <c r="X9" s="236">
        <f t="shared" ref="X9:X71" si="4">W9/C9</f>
        <v>1548.4430849862647</v>
      </c>
      <c r="Y9" s="255">
        <f t="shared" ref="Y9:Y71" si="5">X9/$X$308</f>
        <v>0.44717363195570736</v>
      </c>
    </row>
    <row r="10" spans="1:26" x14ac:dyDescent="0.25">
      <c r="A10" s="111">
        <f>Données!A10</f>
        <v>5403</v>
      </c>
      <c r="B10" s="119" t="str">
        <f>Données!B10</f>
        <v>Chessel</v>
      </c>
      <c r="C10" s="249">
        <f>Données!C10</f>
        <v>525</v>
      </c>
      <c r="D10" s="250">
        <f>Données!D10</f>
        <v>65</v>
      </c>
      <c r="E10" s="251">
        <f>Données!E10</f>
        <v>1</v>
      </c>
      <c r="F10" s="252">
        <f>Données!F10</f>
        <v>681828.46</v>
      </c>
      <c r="G10" s="252">
        <f>Données!G10</f>
        <v>83395.570000000007</v>
      </c>
      <c r="H10" s="252">
        <f>Données!H10</f>
        <v>33456.15</v>
      </c>
      <c r="I10" s="252">
        <f>Données!I10</f>
        <v>55.05</v>
      </c>
      <c r="J10" s="252">
        <f>Données!J10</f>
        <v>0</v>
      </c>
      <c r="K10" s="252">
        <f>Données!K10</f>
        <v>0</v>
      </c>
      <c r="L10" s="252">
        <f>Données!L10</f>
        <v>-9544.51</v>
      </c>
      <c r="M10" s="252">
        <f>Données!M10</f>
        <v>0</v>
      </c>
      <c r="N10" s="252">
        <f>Données!N10</f>
        <v>3119.85</v>
      </c>
      <c r="O10" s="252">
        <f>Données!O10</f>
        <v>89950.3</v>
      </c>
      <c r="P10" s="252">
        <f>Données!P10</f>
        <v>45843.56</v>
      </c>
      <c r="Q10" s="252">
        <f>Données!Q10</f>
        <v>7435.1</v>
      </c>
      <c r="R10" s="252">
        <f>Données!R10</f>
        <v>-113.4</v>
      </c>
      <c r="S10" s="244"/>
      <c r="T10" s="236">
        <f t="shared" si="2"/>
        <v>820512.87923259346</v>
      </c>
      <c r="U10" s="253">
        <f t="shared" si="0"/>
        <v>89950.3</v>
      </c>
      <c r="V10" s="253">
        <f t="shared" si="1"/>
        <v>53165.259999999995</v>
      </c>
      <c r="W10" s="254">
        <f t="shared" si="3"/>
        <v>963628.43923259352</v>
      </c>
      <c r="X10" s="236">
        <f t="shared" si="4"/>
        <v>1835.4827413954163</v>
      </c>
      <c r="Y10" s="255">
        <f t="shared" si="5"/>
        <v>0.5300675832519135</v>
      </c>
    </row>
    <row r="11" spans="1:26" x14ac:dyDescent="0.25">
      <c r="A11" s="111">
        <f>Données!A11</f>
        <v>5404</v>
      </c>
      <c r="B11" s="119" t="str">
        <f>Données!B11</f>
        <v>Corbeyrier</v>
      </c>
      <c r="C11" s="249">
        <f>Données!C11</f>
        <v>456</v>
      </c>
      <c r="D11" s="250">
        <f>Données!D11</f>
        <v>74</v>
      </c>
      <c r="E11" s="251">
        <f>Données!E11</f>
        <v>1.5</v>
      </c>
      <c r="F11" s="252">
        <f>Données!F11</f>
        <v>643796.19999999995</v>
      </c>
      <c r="G11" s="252">
        <f>Données!G11</f>
        <v>142119.66</v>
      </c>
      <c r="H11" s="252">
        <f>Données!H11</f>
        <v>6333.45</v>
      </c>
      <c r="I11" s="252">
        <f>Données!I11</f>
        <v>6593.45</v>
      </c>
      <c r="J11" s="252">
        <f>Données!J11</f>
        <v>0</v>
      </c>
      <c r="K11" s="252">
        <f>Données!K11</f>
        <v>0</v>
      </c>
      <c r="L11" s="252">
        <f>Données!L11</f>
        <v>-4930.7700000000004</v>
      </c>
      <c r="M11" s="252">
        <f>Données!M11</f>
        <v>0</v>
      </c>
      <c r="N11" s="252">
        <f>Données!N11</f>
        <v>1203.48</v>
      </c>
      <c r="O11" s="252">
        <f>Données!O11</f>
        <v>144544.4</v>
      </c>
      <c r="P11" s="252">
        <f>Données!P11</f>
        <v>3291.48</v>
      </c>
      <c r="Q11" s="252">
        <f>Données!Q11</f>
        <v>2184.0500000000002</v>
      </c>
      <c r="R11" s="252">
        <f>Données!R11</f>
        <v>-1343.64</v>
      </c>
      <c r="S11" s="244"/>
      <c r="T11" s="236">
        <f t="shared" si="2"/>
        <v>723272.23351974529</v>
      </c>
      <c r="U11" s="253">
        <f t="shared" si="0"/>
        <v>96362.933333333334</v>
      </c>
      <c r="V11" s="253">
        <f t="shared" si="1"/>
        <v>4131.8900000000003</v>
      </c>
      <c r="W11" s="254">
        <f t="shared" si="3"/>
        <v>823767.05685307865</v>
      </c>
      <c r="X11" s="236">
        <f t="shared" si="4"/>
        <v>1806.5067036251726</v>
      </c>
      <c r="Y11" s="255">
        <f t="shared" si="5"/>
        <v>0.52169961663109288</v>
      </c>
    </row>
    <row r="12" spans="1:26" x14ac:dyDescent="0.25">
      <c r="A12" s="111">
        <f>Données!A12</f>
        <v>5405</v>
      </c>
      <c r="B12" s="119" t="str">
        <f>Données!B12</f>
        <v>Gryon</v>
      </c>
      <c r="C12" s="249">
        <f>Données!C12</f>
        <v>1546</v>
      </c>
      <c r="D12" s="250">
        <f>Données!D12</f>
        <v>73.5</v>
      </c>
      <c r="E12" s="251">
        <f>Données!E12</f>
        <v>1.5</v>
      </c>
      <c r="F12" s="252">
        <f>Données!F12</f>
        <v>3399046.61</v>
      </c>
      <c r="G12" s="252">
        <f>Données!G12</f>
        <v>1465524.89</v>
      </c>
      <c r="H12" s="252">
        <f>Données!H12</f>
        <v>27821.4</v>
      </c>
      <c r="I12" s="252">
        <f>Données!I12</f>
        <v>9735.5499999999993</v>
      </c>
      <c r="J12" s="252">
        <f>Données!J12</f>
        <v>243608.55</v>
      </c>
      <c r="K12" s="252">
        <f>Données!K12</f>
        <v>13254.41</v>
      </c>
      <c r="L12" s="252">
        <f>Données!L12</f>
        <v>-59914.05</v>
      </c>
      <c r="M12" s="252">
        <f>Données!M12</f>
        <v>0</v>
      </c>
      <c r="N12" s="252">
        <f>Données!N12</f>
        <v>3496.5</v>
      </c>
      <c r="O12" s="252">
        <f>Données!O12</f>
        <v>1321791.8</v>
      </c>
      <c r="P12" s="252">
        <f>Données!P12</f>
        <v>154430.53</v>
      </c>
      <c r="Q12" s="252">
        <f>Données!Q12</f>
        <v>16160.75</v>
      </c>
      <c r="R12" s="252">
        <f>Données!R12</f>
        <v>-5488.65</v>
      </c>
      <c r="S12" s="244"/>
      <c r="T12" s="236">
        <f t="shared" si="2"/>
        <v>4673102.1026204415</v>
      </c>
      <c r="U12" s="253">
        <f t="shared" si="0"/>
        <v>881194.53333333333</v>
      </c>
      <c r="V12" s="253">
        <f t="shared" si="1"/>
        <v>165102.63</v>
      </c>
      <c r="W12" s="254">
        <f t="shared" si="3"/>
        <v>5719399.2659537746</v>
      </c>
      <c r="X12" s="236">
        <f t="shared" si="4"/>
        <v>3699.4820607721699</v>
      </c>
      <c r="Y12" s="255">
        <f t="shared" si="5"/>
        <v>1.0683704461020926</v>
      </c>
    </row>
    <row r="13" spans="1:26" x14ac:dyDescent="0.25">
      <c r="A13" s="111">
        <f>Données!A13</f>
        <v>5406</v>
      </c>
      <c r="B13" s="119" t="str">
        <f>Données!B13</f>
        <v>Lavey-Morcles</v>
      </c>
      <c r="C13" s="249">
        <f>Données!C13</f>
        <v>1024</v>
      </c>
      <c r="D13" s="250">
        <f>Données!D13</f>
        <v>71.5</v>
      </c>
      <c r="E13" s="251">
        <f>Données!E13</f>
        <v>1.3</v>
      </c>
      <c r="F13" s="252">
        <f>Données!F13</f>
        <v>1136193.1200000001</v>
      </c>
      <c r="G13" s="252">
        <f>Données!G13</f>
        <v>169088.31</v>
      </c>
      <c r="H13" s="252">
        <f>Données!H13</f>
        <v>164909.70000000001</v>
      </c>
      <c r="I13" s="252">
        <f>Données!I13</f>
        <v>5161.2</v>
      </c>
      <c r="J13" s="252">
        <f>Données!J13</f>
        <v>0</v>
      </c>
      <c r="K13" s="252">
        <f>Données!K13</f>
        <v>342.31</v>
      </c>
      <c r="L13" s="252">
        <f>Données!L13</f>
        <v>-27177.48</v>
      </c>
      <c r="M13" s="252">
        <f>Données!M13</f>
        <v>0</v>
      </c>
      <c r="N13" s="252">
        <f>Données!N13</f>
        <v>15833.36</v>
      </c>
      <c r="O13" s="252">
        <f>Données!O13</f>
        <v>212922.2</v>
      </c>
      <c r="P13" s="252">
        <f>Données!P13</f>
        <v>50487.519999999997</v>
      </c>
      <c r="Q13" s="252">
        <f>Données!Q13</f>
        <v>10439.5</v>
      </c>
      <c r="R13" s="252">
        <f>Données!R13</f>
        <v>-195.1</v>
      </c>
      <c r="S13" s="244"/>
      <c r="T13" s="236">
        <f t="shared" si="2"/>
        <v>1378612.8214056557</v>
      </c>
      <c r="U13" s="253">
        <f t="shared" si="0"/>
        <v>163786.30769230769</v>
      </c>
      <c r="V13" s="253">
        <f t="shared" si="1"/>
        <v>60731.92</v>
      </c>
      <c r="W13" s="254">
        <f t="shared" si="3"/>
        <v>1603131.0490979634</v>
      </c>
      <c r="X13" s="236">
        <f t="shared" si="4"/>
        <v>1565.5576651347299</v>
      </c>
      <c r="Y13" s="255">
        <f t="shared" si="5"/>
        <v>0.45211613777887366</v>
      </c>
    </row>
    <row r="14" spans="1:26" x14ac:dyDescent="0.25">
      <c r="A14" s="111">
        <f>Données!A14</f>
        <v>5407</v>
      </c>
      <c r="B14" s="119" t="str">
        <f>Données!B14</f>
        <v>Leysin</v>
      </c>
      <c r="C14" s="249">
        <f>Données!C14</f>
        <v>3722</v>
      </c>
      <c r="D14" s="250">
        <f>Données!D14</f>
        <v>78</v>
      </c>
      <c r="E14" s="251">
        <f>Données!E14</f>
        <v>1.5</v>
      </c>
      <c r="F14" s="252">
        <f>Données!F14</f>
        <v>4278908.8899999997</v>
      </c>
      <c r="G14" s="252">
        <f>Données!G14</f>
        <v>1213553.52</v>
      </c>
      <c r="H14" s="252">
        <f>Données!H14</f>
        <v>365685.5</v>
      </c>
      <c r="I14" s="252">
        <f>Données!I14</f>
        <v>176935.65</v>
      </c>
      <c r="J14" s="252">
        <f>Données!J14</f>
        <v>94610</v>
      </c>
      <c r="K14" s="252">
        <f>Données!K14</f>
        <v>8491.07</v>
      </c>
      <c r="L14" s="252">
        <f>Données!L14</f>
        <v>-225898.3</v>
      </c>
      <c r="M14" s="252">
        <f>Données!M14</f>
        <v>0</v>
      </c>
      <c r="N14" s="252">
        <f>Données!N14</f>
        <v>50517.27</v>
      </c>
      <c r="O14" s="252">
        <f>Données!O14</f>
        <v>1377379.4</v>
      </c>
      <c r="P14" s="252">
        <f>Données!P14</f>
        <v>555616.64</v>
      </c>
      <c r="Q14" s="252">
        <f>Données!Q14</f>
        <v>61904.9</v>
      </c>
      <c r="R14" s="252">
        <f>Données!R14</f>
        <v>-9568.7999999999993</v>
      </c>
      <c r="S14" s="244"/>
      <c r="T14" s="236">
        <f t="shared" si="2"/>
        <v>5145874.7526811296</v>
      </c>
      <c r="U14" s="253">
        <f t="shared" si="0"/>
        <v>918252.93333333323</v>
      </c>
      <c r="V14" s="253">
        <f t="shared" si="1"/>
        <v>607952.74</v>
      </c>
      <c r="W14" s="254">
        <f t="shared" si="3"/>
        <v>6672080.4260144634</v>
      </c>
      <c r="X14" s="236">
        <f t="shared" si="4"/>
        <v>1792.6062401973304</v>
      </c>
      <c r="Y14" s="255">
        <f t="shared" si="5"/>
        <v>0.5176853129881851</v>
      </c>
    </row>
    <row r="15" spans="1:26" x14ac:dyDescent="0.25">
      <c r="A15" s="111">
        <f>Données!A15</f>
        <v>5408</v>
      </c>
      <c r="B15" s="119" t="str">
        <f>Données!B15</f>
        <v>Noville</v>
      </c>
      <c r="C15" s="249">
        <f>Données!C15</f>
        <v>1214</v>
      </c>
      <c r="D15" s="250">
        <f>Données!D15</f>
        <v>75</v>
      </c>
      <c r="E15" s="251">
        <f>Données!E15</f>
        <v>1.5</v>
      </c>
      <c r="F15" s="252">
        <f>Données!F15</f>
        <v>2317310.94</v>
      </c>
      <c r="G15" s="252">
        <f>Données!G15</f>
        <v>424828.42</v>
      </c>
      <c r="H15" s="252">
        <f>Données!H15</f>
        <v>229750.25</v>
      </c>
      <c r="I15" s="252">
        <f>Données!I15</f>
        <v>8151.3</v>
      </c>
      <c r="J15" s="252">
        <f>Données!J15</f>
        <v>0</v>
      </c>
      <c r="K15" s="252">
        <f>Données!K15</f>
        <v>1008.32</v>
      </c>
      <c r="L15" s="252">
        <f>Données!L15</f>
        <v>-39308.31</v>
      </c>
      <c r="M15" s="252">
        <f>Données!M15</f>
        <v>0</v>
      </c>
      <c r="N15" s="252">
        <f>Données!N15</f>
        <v>22148.3</v>
      </c>
      <c r="O15" s="252">
        <f>Données!O15</f>
        <v>554869.15</v>
      </c>
      <c r="P15" s="252">
        <f>Données!P15</f>
        <v>67119.929999999993</v>
      </c>
      <c r="Q15" s="252">
        <f>Données!Q15</f>
        <v>26199.45</v>
      </c>
      <c r="R15" s="252">
        <f>Données!R15</f>
        <v>-2117.25</v>
      </c>
      <c r="S15" s="244"/>
      <c r="T15" s="236">
        <f t="shared" si="2"/>
        <v>2660137.0562027958</v>
      </c>
      <c r="U15" s="253">
        <f t="shared" si="0"/>
        <v>369912.76666666666</v>
      </c>
      <c r="V15" s="253">
        <f t="shared" si="1"/>
        <v>91202.12999999999</v>
      </c>
      <c r="W15" s="254">
        <f t="shared" si="3"/>
        <v>3121251.9528694623</v>
      </c>
      <c r="X15" s="236">
        <f t="shared" si="4"/>
        <v>2571.047737124763</v>
      </c>
      <c r="Y15" s="255">
        <f t="shared" si="5"/>
        <v>0.74249080620989127</v>
      </c>
    </row>
    <row r="16" spans="1:26" x14ac:dyDescent="0.25">
      <c r="A16" s="111">
        <f>Données!A16</f>
        <v>5409</v>
      </c>
      <c r="B16" s="119" t="str">
        <f>Données!B16</f>
        <v>Ollon</v>
      </c>
      <c r="C16" s="249">
        <f>Données!C16</f>
        <v>8302</v>
      </c>
      <c r="D16" s="250">
        <f>Données!D16</f>
        <v>68</v>
      </c>
      <c r="E16" s="251">
        <f>Données!E16</f>
        <v>1.3</v>
      </c>
      <c r="F16" s="252">
        <f>Données!F16</f>
        <v>14696302.630000001</v>
      </c>
      <c r="G16" s="252">
        <f>Données!G16</f>
        <v>6107223.0700000003</v>
      </c>
      <c r="H16" s="252">
        <f>Données!H16</f>
        <v>867335.45</v>
      </c>
      <c r="I16" s="252">
        <f>Données!I16</f>
        <v>116886.9</v>
      </c>
      <c r="J16" s="252">
        <f>Données!J16</f>
        <v>2480688.0699999998</v>
      </c>
      <c r="K16" s="252">
        <f>Données!K16</f>
        <v>34653.22</v>
      </c>
      <c r="L16" s="252">
        <f>Données!L16</f>
        <v>-301071.83</v>
      </c>
      <c r="M16" s="252">
        <f>Données!M16</f>
        <v>0</v>
      </c>
      <c r="N16" s="252">
        <f>Données!N16</f>
        <v>91741.440000000002</v>
      </c>
      <c r="O16" s="252">
        <f>Données!O16</f>
        <v>4533459.7</v>
      </c>
      <c r="P16" s="252">
        <f>Données!P16</f>
        <v>1005296.36</v>
      </c>
      <c r="Q16" s="252">
        <f>Données!Q16</f>
        <v>149199.20000000001</v>
      </c>
      <c r="R16" s="252">
        <f>Données!R16</f>
        <v>-141204.15</v>
      </c>
      <c r="S16" s="244"/>
      <c r="T16" s="236">
        <f t="shared" si="2"/>
        <v>23850580.707891535</v>
      </c>
      <c r="U16" s="253">
        <f t="shared" si="0"/>
        <v>3487276.6923076925</v>
      </c>
      <c r="V16" s="253">
        <f t="shared" si="1"/>
        <v>1013291.41</v>
      </c>
      <c r="W16" s="254">
        <f t="shared" si="3"/>
        <v>28351148.810199227</v>
      </c>
      <c r="X16" s="236">
        <f t="shared" si="4"/>
        <v>3414.9781751625183</v>
      </c>
      <c r="Y16" s="255">
        <f t="shared" si="5"/>
        <v>0.98620879801367889</v>
      </c>
    </row>
    <row r="17" spans="1:25" x14ac:dyDescent="0.25">
      <c r="A17" s="111">
        <f>Données!A17</f>
        <v>5410</v>
      </c>
      <c r="B17" s="119" t="str">
        <f>Données!B17</f>
        <v>Ormont-Dessous</v>
      </c>
      <c r="C17" s="249">
        <f>Données!C17</f>
        <v>1261</v>
      </c>
      <c r="D17" s="250">
        <f>Données!D17</f>
        <v>77</v>
      </c>
      <c r="E17" s="251">
        <f>Données!E17</f>
        <v>1.5</v>
      </c>
      <c r="F17" s="252">
        <f>Données!F17</f>
        <v>1951072.39</v>
      </c>
      <c r="G17" s="252">
        <f>Données!G17</f>
        <v>595218.12</v>
      </c>
      <c r="H17" s="252">
        <f>Données!H17</f>
        <v>59418.15</v>
      </c>
      <c r="I17" s="252">
        <f>Données!I17</f>
        <v>-341.35</v>
      </c>
      <c r="J17" s="252">
        <f>Données!J17</f>
        <v>0</v>
      </c>
      <c r="K17" s="252">
        <f>Données!K17</f>
        <v>6993.43</v>
      </c>
      <c r="L17" s="252">
        <f>Données!L17</f>
        <v>-35653</v>
      </c>
      <c r="M17" s="252">
        <f>Données!M17</f>
        <v>0</v>
      </c>
      <c r="N17" s="252">
        <f>Données!N17</f>
        <v>5499.97</v>
      </c>
      <c r="O17" s="252">
        <f>Données!O17</f>
        <v>627673.25</v>
      </c>
      <c r="P17" s="252">
        <f>Données!P17</f>
        <v>101671.24</v>
      </c>
      <c r="Q17" s="252">
        <f>Données!Q17</f>
        <v>7312.5</v>
      </c>
      <c r="R17" s="252">
        <f>Données!R17</f>
        <v>-235.75</v>
      </c>
      <c r="S17" s="244"/>
      <c r="T17" s="236">
        <f t="shared" si="2"/>
        <v>2257375.2421264048</v>
      </c>
      <c r="U17" s="253">
        <f t="shared" si="0"/>
        <v>418448.83333333331</v>
      </c>
      <c r="V17" s="253">
        <f t="shared" si="1"/>
        <v>108747.99</v>
      </c>
      <c r="W17" s="254">
        <f t="shared" si="3"/>
        <v>2784572.0654597385</v>
      </c>
      <c r="X17" s="236">
        <f t="shared" si="4"/>
        <v>2208.2252699918622</v>
      </c>
      <c r="Y17" s="255">
        <f t="shared" si="5"/>
        <v>0.63771159801291155</v>
      </c>
    </row>
    <row r="18" spans="1:25" x14ac:dyDescent="0.25">
      <c r="A18" s="111">
        <f>Données!A18</f>
        <v>5411</v>
      </c>
      <c r="B18" s="119" t="str">
        <f>Données!B18</f>
        <v>Ormont-Dessus</v>
      </c>
      <c r="C18" s="249">
        <f>Données!C18</f>
        <v>1440</v>
      </c>
      <c r="D18" s="250">
        <f>Données!D18</f>
        <v>76</v>
      </c>
      <c r="E18" s="251">
        <f>Données!E18</f>
        <v>1.5</v>
      </c>
      <c r="F18" s="252">
        <f>Données!F18</f>
        <v>3366724.59</v>
      </c>
      <c r="G18" s="252">
        <f>Données!G18</f>
        <v>1533080.35</v>
      </c>
      <c r="H18" s="252">
        <f>Données!H18</f>
        <v>130986.45</v>
      </c>
      <c r="I18" s="252">
        <f>Données!I18</f>
        <v>3210.05</v>
      </c>
      <c r="J18" s="252">
        <f>Données!J18</f>
        <v>189753.65</v>
      </c>
      <c r="K18" s="252">
        <f>Données!K18</f>
        <v>6858.44</v>
      </c>
      <c r="L18" s="252">
        <f>Données!L18</f>
        <v>-29973.33</v>
      </c>
      <c r="M18" s="252">
        <f>Données!M18</f>
        <v>0</v>
      </c>
      <c r="N18" s="252">
        <f>Données!N18</f>
        <v>12493.51</v>
      </c>
      <c r="O18" s="252">
        <f>Données!O18</f>
        <v>1360672.1</v>
      </c>
      <c r="P18" s="252">
        <f>Données!P18</f>
        <v>215675.35</v>
      </c>
      <c r="Q18" s="252">
        <f>Données!Q18</f>
        <v>5673.95</v>
      </c>
      <c r="R18" s="252">
        <f>Données!R18</f>
        <v>-3325.68</v>
      </c>
      <c r="S18" s="244"/>
      <c r="T18" s="236">
        <f t="shared" si="2"/>
        <v>4617305.1905922256</v>
      </c>
      <c r="U18" s="253">
        <f t="shared" si="0"/>
        <v>907114.7333333334</v>
      </c>
      <c r="V18" s="253">
        <f t="shared" si="1"/>
        <v>218023.62000000002</v>
      </c>
      <c r="W18" s="254">
        <f t="shared" si="3"/>
        <v>5742443.5439255591</v>
      </c>
      <c r="X18" s="236">
        <f t="shared" si="4"/>
        <v>3987.8080166149716</v>
      </c>
      <c r="Y18" s="255">
        <f t="shared" si="5"/>
        <v>1.151635866776221</v>
      </c>
    </row>
    <row r="19" spans="1:25" x14ac:dyDescent="0.25">
      <c r="A19" s="111">
        <f>Données!A19</f>
        <v>5412</v>
      </c>
      <c r="B19" s="119" t="str">
        <f>Données!B19</f>
        <v>Rennaz</v>
      </c>
      <c r="C19" s="249">
        <f>Données!C19</f>
        <v>935</v>
      </c>
      <c r="D19" s="250">
        <f>Données!D19</f>
        <v>66</v>
      </c>
      <c r="E19" s="251">
        <f>Données!E19</f>
        <v>1</v>
      </c>
      <c r="F19" s="252">
        <f>Données!F19</f>
        <v>1177162.95</v>
      </c>
      <c r="G19" s="252">
        <f>Données!G19</f>
        <v>123561.76</v>
      </c>
      <c r="H19" s="252">
        <f>Données!H19</f>
        <v>217977.65</v>
      </c>
      <c r="I19" s="252">
        <f>Données!I19</f>
        <v>-30164.35</v>
      </c>
      <c r="J19" s="252">
        <f>Données!J19</f>
        <v>0</v>
      </c>
      <c r="K19" s="252">
        <f>Données!K19</f>
        <v>557.74</v>
      </c>
      <c r="L19" s="252">
        <f>Données!L19</f>
        <v>-24612.65</v>
      </c>
      <c r="M19" s="252">
        <f>Données!M19</f>
        <v>0</v>
      </c>
      <c r="N19" s="252">
        <f>Données!N19</f>
        <v>17485.150000000001</v>
      </c>
      <c r="O19" s="252">
        <f>Données!O19</f>
        <v>287458.2</v>
      </c>
      <c r="P19" s="252">
        <f>Données!P19</f>
        <v>89494.95</v>
      </c>
      <c r="Q19" s="252">
        <f>Données!Q19</f>
        <v>71988.3</v>
      </c>
      <c r="R19" s="252">
        <f>Données!R19</f>
        <v>-343.35</v>
      </c>
      <c r="S19" s="244"/>
      <c r="T19" s="236">
        <f t="shared" si="2"/>
        <v>1511465.6197410601</v>
      </c>
      <c r="U19" s="253">
        <f t="shared" si="0"/>
        <v>287458.2</v>
      </c>
      <c r="V19" s="253">
        <f t="shared" si="1"/>
        <v>161139.9</v>
      </c>
      <c r="W19" s="254">
        <f t="shared" si="3"/>
        <v>1960063.7197410599</v>
      </c>
      <c r="X19" s="236">
        <f t="shared" si="4"/>
        <v>2096.3248339476577</v>
      </c>
      <c r="Y19" s="255">
        <f t="shared" si="5"/>
        <v>0.60539596117195005</v>
      </c>
    </row>
    <row r="20" spans="1:25" x14ac:dyDescent="0.25">
      <c r="A20" s="111">
        <f>Données!A20</f>
        <v>5413</v>
      </c>
      <c r="B20" s="119" t="str">
        <f>Données!B20</f>
        <v>Roche</v>
      </c>
      <c r="C20" s="249">
        <f>Données!C20</f>
        <v>2035</v>
      </c>
      <c r="D20" s="250">
        <f>Données!D20</f>
        <v>66.5</v>
      </c>
      <c r="E20" s="251">
        <f>Données!E20</f>
        <v>1.2</v>
      </c>
      <c r="F20" s="252">
        <f>Données!F20</f>
        <v>2068808.51</v>
      </c>
      <c r="G20" s="252">
        <f>Données!G20</f>
        <v>285665.84999999998</v>
      </c>
      <c r="H20" s="252">
        <f>Données!H20</f>
        <v>229700.65</v>
      </c>
      <c r="I20" s="252">
        <f>Données!I20</f>
        <v>3524.9</v>
      </c>
      <c r="J20" s="252">
        <f>Données!J20</f>
        <v>0</v>
      </c>
      <c r="K20" s="252">
        <f>Données!K20</f>
        <v>7340.8</v>
      </c>
      <c r="L20" s="252">
        <f>Données!L20</f>
        <v>-60955.59</v>
      </c>
      <c r="M20" s="252">
        <f>Données!M20</f>
        <v>0</v>
      </c>
      <c r="N20" s="252">
        <f>Données!N20</f>
        <v>21712.97</v>
      </c>
      <c r="O20" s="252">
        <f>Données!O20</f>
        <v>412537.05</v>
      </c>
      <c r="P20" s="252">
        <f>Données!P20</f>
        <v>114815.75</v>
      </c>
      <c r="Q20" s="252">
        <f>Données!Q20</f>
        <v>41990.15</v>
      </c>
      <c r="R20" s="252">
        <f>Données!R20</f>
        <v>-199.15</v>
      </c>
      <c r="S20" s="244"/>
      <c r="T20" s="236">
        <f t="shared" si="2"/>
        <v>2587070.1508989185</v>
      </c>
      <c r="U20" s="253">
        <f t="shared" si="0"/>
        <v>343780.875</v>
      </c>
      <c r="V20" s="253">
        <f t="shared" si="1"/>
        <v>156606.75</v>
      </c>
      <c r="W20" s="254">
        <f t="shared" si="3"/>
        <v>3087457.7758989185</v>
      </c>
      <c r="X20" s="236">
        <f t="shared" si="4"/>
        <v>1517.1782682549967</v>
      </c>
      <c r="Y20" s="255">
        <f t="shared" si="5"/>
        <v>0.43814469070128942</v>
      </c>
    </row>
    <row r="21" spans="1:25" x14ac:dyDescent="0.25">
      <c r="A21" s="111">
        <f>Données!A21</f>
        <v>5414</v>
      </c>
      <c r="B21" s="119" t="str">
        <f>Données!B21</f>
        <v>Villeneuve</v>
      </c>
      <c r="C21" s="249">
        <f>Données!C21</f>
        <v>6073</v>
      </c>
      <c r="D21" s="250">
        <f>Données!D21</f>
        <v>66.5</v>
      </c>
      <c r="E21" s="251">
        <f>Données!E21</f>
        <v>1</v>
      </c>
      <c r="F21" s="252">
        <f>Données!F21</f>
        <v>7389683.7800000003</v>
      </c>
      <c r="G21" s="252">
        <f>Données!G21</f>
        <v>1187210.04</v>
      </c>
      <c r="H21" s="252">
        <f>Données!H21</f>
        <v>674454.85</v>
      </c>
      <c r="I21" s="252">
        <f>Données!I21</f>
        <v>220010.8</v>
      </c>
      <c r="J21" s="252">
        <f>Données!J21</f>
        <v>76837.55</v>
      </c>
      <c r="K21" s="252">
        <f>Données!K21</f>
        <v>16402.150000000001</v>
      </c>
      <c r="L21" s="252">
        <f>Données!L21</f>
        <v>-229345.32</v>
      </c>
      <c r="M21" s="252">
        <f>Données!M21</f>
        <v>0</v>
      </c>
      <c r="N21" s="252">
        <f>Données!N21</f>
        <v>83273.5</v>
      </c>
      <c r="O21" s="252">
        <f>Données!O21</f>
        <v>1368786.8</v>
      </c>
      <c r="P21" s="252">
        <f>Données!P21</f>
        <v>425881.78</v>
      </c>
      <c r="Q21" s="252">
        <f>Données!Q21</f>
        <v>157068</v>
      </c>
      <c r="R21" s="252">
        <f>Données!R21</f>
        <v>-4256.3500000000004</v>
      </c>
      <c r="S21" s="244"/>
      <c r="T21" s="236">
        <f t="shared" si="2"/>
        <v>9533769.9280501828</v>
      </c>
      <c r="U21" s="253">
        <f t="shared" si="0"/>
        <v>1368786.8</v>
      </c>
      <c r="V21" s="253">
        <f t="shared" si="1"/>
        <v>578693.43000000005</v>
      </c>
      <c r="W21" s="254">
        <f t="shared" si="3"/>
        <v>11481250.158050183</v>
      </c>
      <c r="X21" s="236">
        <f t="shared" si="4"/>
        <v>1890.5401215297518</v>
      </c>
      <c r="Y21" s="255">
        <f t="shared" si="5"/>
        <v>0.54596755973755562</v>
      </c>
    </row>
    <row r="22" spans="1:25" x14ac:dyDescent="0.25">
      <c r="A22" s="111">
        <f>Données!A22</f>
        <v>5415</v>
      </c>
      <c r="B22" s="119" t="str">
        <f>Données!B22</f>
        <v>Yvorne</v>
      </c>
      <c r="C22" s="249">
        <f>Données!C22</f>
        <v>1119</v>
      </c>
      <c r="D22" s="250">
        <f>Données!D22</f>
        <v>71.5</v>
      </c>
      <c r="E22" s="251">
        <f>Données!E22</f>
        <v>1.5</v>
      </c>
      <c r="F22" s="252">
        <f>Données!F22</f>
        <v>1894143.26</v>
      </c>
      <c r="G22" s="252">
        <f>Données!G22</f>
        <v>403680.24</v>
      </c>
      <c r="H22" s="252">
        <f>Données!H22</f>
        <v>75311</v>
      </c>
      <c r="I22" s="252">
        <f>Données!I22</f>
        <v>15280.35</v>
      </c>
      <c r="J22" s="252">
        <f>Données!J22</f>
        <v>-1096.5999999999999</v>
      </c>
      <c r="K22" s="252">
        <f>Données!K22</f>
        <v>1788.53</v>
      </c>
      <c r="L22" s="252">
        <f>Données!L22</f>
        <v>-40463.660000000003</v>
      </c>
      <c r="M22" s="252">
        <f>Données!M22</f>
        <v>0</v>
      </c>
      <c r="N22" s="252">
        <f>Données!N22</f>
        <v>8433.93</v>
      </c>
      <c r="O22" s="252">
        <f>Données!O22</f>
        <v>414021.4</v>
      </c>
      <c r="P22" s="252">
        <f>Données!P22</f>
        <v>53190.76</v>
      </c>
      <c r="Q22" s="252">
        <f>Données!Q22</f>
        <v>24182.65</v>
      </c>
      <c r="R22" s="252">
        <f>Données!R22</f>
        <v>-5643.6</v>
      </c>
      <c r="S22" s="244"/>
      <c r="T22" s="236">
        <f t="shared" si="2"/>
        <v>2219070.2279198966</v>
      </c>
      <c r="U22" s="253">
        <f t="shared" si="0"/>
        <v>276014.26666666666</v>
      </c>
      <c r="V22" s="253">
        <f t="shared" si="1"/>
        <v>71729.81</v>
      </c>
      <c r="W22" s="254">
        <f t="shared" si="3"/>
        <v>2566814.3045865633</v>
      </c>
      <c r="X22" s="236">
        <f t="shared" si="4"/>
        <v>2293.8465635268662</v>
      </c>
      <c r="Y22" s="255">
        <f t="shared" si="5"/>
        <v>0.6624381024443825</v>
      </c>
    </row>
    <row r="23" spans="1:25" x14ac:dyDescent="0.25">
      <c r="A23" s="111">
        <f>Données!A23</f>
        <v>5422</v>
      </c>
      <c r="B23" s="119" t="str">
        <f>Données!B23</f>
        <v>Aubonne</v>
      </c>
      <c r="C23" s="249">
        <f>Données!C23</f>
        <v>3896</v>
      </c>
      <c r="D23" s="250">
        <f>Données!D23</f>
        <v>68</v>
      </c>
      <c r="E23" s="251">
        <f>Données!E23</f>
        <v>1</v>
      </c>
      <c r="F23" s="252">
        <f>Données!F23</f>
        <v>12092400.49</v>
      </c>
      <c r="G23" s="252">
        <f>Données!G23</f>
        <v>2094655.85</v>
      </c>
      <c r="H23" s="252">
        <f>Données!H23</f>
        <v>12953394.949999999</v>
      </c>
      <c r="I23" s="252">
        <f>Données!I23</f>
        <v>-1326196.8500000001</v>
      </c>
      <c r="J23" s="252">
        <f>Données!J23</f>
        <v>116580.35</v>
      </c>
      <c r="K23" s="252">
        <f>Données!K23</f>
        <v>17251.490000000002</v>
      </c>
      <c r="L23" s="252">
        <f>Données!L23</f>
        <v>-126690.86</v>
      </c>
      <c r="M23" s="252">
        <f>Données!M23</f>
        <v>0</v>
      </c>
      <c r="N23" s="252">
        <f>Données!N23</f>
        <v>1082475.82</v>
      </c>
      <c r="O23" s="252">
        <f>Données!O23</f>
        <v>1246583.6599999999</v>
      </c>
      <c r="P23" s="252">
        <f>Données!P23</f>
        <v>444850.55</v>
      </c>
      <c r="Q23" s="252">
        <f>Données!Q23</f>
        <v>110024.2</v>
      </c>
      <c r="R23" s="252">
        <f>Données!R23</f>
        <v>-15864.36</v>
      </c>
      <c r="S23" s="244"/>
      <c r="T23" s="236">
        <f t="shared" si="2"/>
        <v>26632330.542359885</v>
      </c>
      <c r="U23" s="253">
        <f t="shared" si="0"/>
        <v>1246583.6599999999</v>
      </c>
      <c r="V23" s="253">
        <f t="shared" si="1"/>
        <v>539010.39</v>
      </c>
      <c r="W23" s="254">
        <f t="shared" si="3"/>
        <v>28417924.592359886</v>
      </c>
      <c r="X23" s="236">
        <f t="shared" si="4"/>
        <v>7294.1284887987385</v>
      </c>
      <c r="Y23" s="255">
        <f t="shared" si="5"/>
        <v>2.1064654942203833</v>
      </c>
    </row>
    <row r="24" spans="1:25" x14ac:dyDescent="0.25">
      <c r="A24" s="111">
        <f>Données!A24</f>
        <v>5423</v>
      </c>
      <c r="B24" s="119" t="str">
        <f>Données!B24</f>
        <v>Ballens</v>
      </c>
      <c r="C24" s="249">
        <f>Données!C24</f>
        <v>580</v>
      </c>
      <c r="D24" s="250">
        <f>Données!D24</f>
        <v>73</v>
      </c>
      <c r="E24" s="251">
        <f>Données!E24</f>
        <v>0.5</v>
      </c>
      <c r="F24" s="252">
        <f>Données!F24</f>
        <v>915916.71</v>
      </c>
      <c r="G24" s="252">
        <f>Données!G24</f>
        <v>126587.61</v>
      </c>
      <c r="H24" s="252">
        <f>Données!H24</f>
        <v>29642.5</v>
      </c>
      <c r="I24" s="252">
        <f>Données!I24</f>
        <v>1550.4</v>
      </c>
      <c r="J24" s="252">
        <f>Données!J24</f>
        <v>0</v>
      </c>
      <c r="K24" s="252">
        <f>Données!K24</f>
        <v>2.84</v>
      </c>
      <c r="L24" s="252">
        <f>Données!L24</f>
        <v>-9546.9</v>
      </c>
      <c r="M24" s="252">
        <f>Données!M24</f>
        <v>0</v>
      </c>
      <c r="N24" s="252">
        <f>Données!N24</f>
        <v>2904.02</v>
      </c>
      <c r="O24" s="252">
        <f>Données!O24</f>
        <v>47743.25</v>
      </c>
      <c r="P24" s="252">
        <f>Données!P24</f>
        <v>40617.75</v>
      </c>
      <c r="Q24" s="252">
        <f>Données!Q24</f>
        <v>-3334.65</v>
      </c>
      <c r="R24" s="252">
        <f>Données!R24</f>
        <v>-99.65</v>
      </c>
      <c r="S24" s="244"/>
      <c r="T24" s="236">
        <f t="shared" si="2"/>
        <v>983938.92451629834</v>
      </c>
      <c r="U24" s="253">
        <f t="shared" si="0"/>
        <v>95486.5</v>
      </c>
      <c r="V24" s="253">
        <f t="shared" si="1"/>
        <v>37183.449999999997</v>
      </c>
      <c r="W24" s="254">
        <f t="shared" si="3"/>
        <v>1116608.8745162983</v>
      </c>
      <c r="X24" s="236">
        <f t="shared" si="4"/>
        <v>1925.1877146832728</v>
      </c>
      <c r="Y24" s="255">
        <f t="shared" si="5"/>
        <v>0.55597341027168823</v>
      </c>
    </row>
    <row r="25" spans="1:25" x14ac:dyDescent="0.25">
      <c r="A25" s="111">
        <f>Données!A25</f>
        <v>5424</v>
      </c>
      <c r="B25" s="119" t="str">
        <f>Données!B25</f>
        <v>Berolle</v>
      </c>
      <c r="C25" s="249">
        <f>Données!C25</f>
        <v>300</v>
      </c>
      <c r="D25" s="250">
        <f>Données!D25</f>
        <v>75.5</v>
      </c>
      <c r="E25" s="251">
        <f>Données!E25</f>
        <v>1</v>
      </c>
      <c r="F25" s="252">
        <f>Données!F25</f>
        <v>549338.18999999994</v>
      </c>
      <c r="G25" s="252">
        <f>Données!G25</f>
        <v>98159.13</v>
      </c>
      <c r="H25" s="252">
        <f>Données!H25</f>
        <v>5037.3500000000004</v>
      </c>
      <c r="I25" s="252">
        <f>Données!I25</f>
        <v>1393.7</v>
      </c>
      <c r="J25" s="252">
        <f>Données!J25</f>
        <v>44297.7</v>
      </c>
      <c r="K25" s="252">
        <f>Données!K25</f>
        <v>176.63</v>
      </c>
      <c r="L25" s="252">
        <f>Données!L25</f>
        <v>-7975.81</v>
      </c>
      <c r="M25" s="252">
        <f>Données!M25</f>
        <v>0</v>
      </c>
      <c r="N25" s="252">
        <f>Données!N25</f>
        <v>598.72</v>
      </c>
      <c r="O25" s="252">
        <f>Données!O25</f>
        <v>56377.35</v>
      </c>
      <c r="P25" s="252">
        <f>Données!P25</f>
        <v>10122.86</v>
      </c>
      <c r="Q25" s="252">
        <f>Données!Q25</f>
        <v>1075.5</v>
      </c>
      <c r="R25" s="252">
        <f>Données!R25</f>
        <v>0</v>
      </c>
      <c r="S25" s="244"/>
      <c r="T25" s="236">
        <f t="shared" si="2"/>
        <v>616098.99536239228</v>
      </c>
      <c r="U25" s="253">
        <f t="shared" si="0"/>
        <v>56377.35</v>
      </c>
      <c r="V25" s="253">
        <f t="shared" si="1"/>
        <v>11198.36</v>
      </c>
      <c r="W25" s="254">
        <f t="shared" si="3"/>
        <v>683674.70536239224</v>
      </c>
      <c r="X25" s="236">
        <f t="shared" si="4"/>
        <v>2278.9156845413077</v>
      </c>
      <c r="Y25" s="255">
        <f t="shared" si="5"/>
        <v>0.6581262259220868</v>
      </c>
    </row>
    <row r="26" spans="1:25" x14ac:dyDescent="0.25">
      <c r="A26" s="111">
        <f>Données!A26</f>
        <v>5425</v>
      </c>
      <c r="B26" s="119" t="str">
        <f>Données!B26</f>
        <v>Bière</v>
      </c>
      <c r="C26" s="249">
        <f>Données!C26</f>
        <v>1701</v>
      </c>
      <c r="D26" s="250">
        <f>Données!D26</f>
        <v>69</v>
      </c>
      <c r="E26" s="251">
        <f>Données!E26</f>
        <v>0.57999999999999996</v>
      </c>
      <c r="F26" s="252">
        <f>Données!F26</f>
        <v>2203638.4</v>
      </c>
      <c r="G26" s="252">
        <f>Données!G26</f>
        <v>293385.90000000002</v>
      </c>
      <c r="H26" s="252">
        <f>Données!H26</f>
        <v>151318.04999999999</v>
      </c>
      <c r="I26" s="252">
        <f>Données!I26</f>
        <v>-11965.55</v>
      </c>
      <c r="J26" s="252">
        <f>Données!J26</f>
        <v>0</v>
      </c>
      <c r="K26" s="252">
        <f>Données!K26</f>
        <v>31318.13</v>
      </c>
      <c r="L26" s="252">
        <f>Données!L26</f>
        <v>-50848.17</v>
      </c>
      <c r="M26" s="252">
        <f>Données!M26</f>
        <v>0</v>
      </c>
      <c r="N26" s="252">
        <f>Données!N26</f>
        <v>12973.52</v>
      </c>
      <c r="O26" s="252">
        <f>Données!O26</f>
        <v>141655.35</v>
      </c>
      <c r="P26" s="252">
        <f>Données!P26</f>
        <v>171965.23</v>
      </c>
      <c r="Q26" s="252">
        <f>Données!Q26</f>
        <v>20049.349999999999</v>
      </c>
      <c r="R26" s="252">
        <f>Données!R26</f>
        <v>-34.409999999999997</v>
      </c>
      <c r="S26" s="244"/>
      <c r="T26" s="236">
        <f t="shared" si="2"/>
        <v>2565548.8516411632</v>
      </c>
      <c r="U26" s="253">
        <f t="shared" si="0"/>
        <v>244233.36206896554</v>
      </c>
      <c r="V26" s="253">
        <f t="shared" si="1"/>
        <v>191980.17</v>
      </c>
      <c r="W26" s="254">
        <f t="shared" si="3"/>
        <v>3001762.3837101287</v>
      </c>
      <c r="X26" s="236">
        <f t="shared" si="4"/>
        <v>1764.7045171723273</v>
      </c>
      <c r="Y26" s="255">
        <f t="shared" si="5"/>
        <v>0.50962759685777692</v>
      </c>
    </row>
    <row r="27" spans="1:25" x14ac:dyDescent="0.25">
      <c r="A27" s="111">
        <f>Données!A27</f>
        <v>5426</v>
      </c>
      <c r="B27" s="119" t="str">
        <f>Données!B27</f>
        <v>Bougy-Villars</v>
      </c>
      <c r="C27" s="249">
        <f>Données!C27</f>
        <v>493</v>
      </c>
      <c r="D27" s="250">
        <f>Données!D27</f>
        <v>62</v>
      </c>
      <c r="E27" s="251">
        <f>Données!E27</f>
        <v>1.2</v>
      </c>
      <c r="F27" s="252">
        <f>Données!F27</f>
        <v>3327490.9</v>
      </c>
      <c r="G27" s="252">
        <f>Données!G27</f>
        <v>1268184.1499999999</v>
      </c>
      <c r="H27" s="252">
        <f>Données!H27</f>
        <v>47981.85</v>
      </c>
      <c r="I27" s="252">
        <f>Données!I27</f>
        <v>3065.5</v>
      </c>
      <c r="J27" s="252">
        <f>Données!J27</f>
        <v>764425.1</v>
      </c>
      <c r="K27" s="252">
        <f>Données!K27</f>
        <v>1299.8900000000001</v>
      </c>
      <c r="L27" s="252">
        <f>Données!L27</f>
        <v>-2010.6</v>
      </c>
      <c r="M27" s="252">
        <f>Données!M27</f>
        <v>0</v>
      </c>
      <c r="N27" s="252">
        <f>Données!N27</f>
        <v>4752.4399999999996</v>
      </c>
      <c r="O27" s="252">
        <f>Données!O27</f>
        <v>354391.5</v>
      </c>
      <c r="P27" s="252">
        <f>Données!P27</f>
        <v>72292.72</v>
      </c>
      <c r="Q27" s="252">
        <f>Données!Q27</f>
        <v>6169.3</v>
      </c>
      <c r="R27" s="252">
        <f>Données!R27</f>
        <v>-12503.2</v>
      </c>
      <c r="S27" s="244"/>
      <c r="T27" s="236">
        <f t="shared" si="2"/>
        <v>5879295.0698466673</v>
      </c>
      <c r="U27" s="253">
        <f t="shared" si="0"/>
        <v>295326.25</v>
      </c>
      <c r="V27" s="253">
        <f t="shared" si="1"/>
        <v>65958.820000000007</v>
      </c>
      <c r="W27" s="254">
        <f t="shared" si="3"/>
        <v>6240580.1398466676</v>
      </c>
      <c r="X27" s="236">
        <f t="shared" si="4"/>
        <v>12658.377565611901</v>
      </c>
      <c r="Y27" s="255">
        <f t="shared" si="5"/>
        <v>3.6556026666821464</v>
      </c>
    </row>
    <row r="28" spans="1:25" x14ac:dyDescent="0.25">
      <c r="A28" s="111">
        <f>Données!A28</f>
        <v>5427</v>
      </c>
      <c r="B28" s="119" t="str">
        <f>Données!B28</f>
        <v>Féchy</v>
      </c>
      <c r="C28" s="249">
        <f>Données!C28</f>
        <v>906</v>
      </c>
      <c r="D28" s="250">
        <f>Données!D28</f>
        <v>64</v>
      </c>
      <c r="E28" s="251">
        <f>Données!E28</f>
        <v>1.3</v>
      </c>
      <c r="F28" s="252">
        <f>Données!F28</f>
        <v>3245023.1</v>
      </c>
      <c r="G28" s="252">
        <f>Données!G28</f>
        <v>974291.45</v>
      </c>
      <c r="H28" s="252">
        <f>Données!H28</f>
        <v>4662.7</v>
      </c>
      <c r="I28" s="252">
        <f>Données!I28</f>
        <v>12396.1</v>
      </c>
      <c r="J28" s="252">
        <f>Données!J28</f>
        <v>627209</v>
      </c>
      <c r="K28" s="252">
        <f>Données!K28</f>
        <v>0</v>
      </c>
      <c r="L28" s="252">
        <f>Données!L28</f>
        <v>-7170.55</v>
      </c>
      <c r="M28" s="252">
        <f>Données!M28</f>
        <v>0</v>
      </c>
      <c r="N28" s="252">
        <f>Données!N28</f>
        <v>1588.15</v>
      </c>
      <c r="O28" s="252">
        <f>Données!O28</f>
        <v>508712.45</v>
      </c>
      <c r="P28" s="252">
        <f>Données!P28</f>
        <v>10185.32</v>
      </c>
      <c r="Q28" s="252">
        <f>Données!Q28</f>
        <v>14678.05</v>
      </c>
      <c r="R28" s="252">
        <f>Données!R28</f>
        <v>-26152.5</v>
      </c>
      <c r="S28" s="244"/>
      <c r="T28" s="236">
        <f t="shared" si="2"/>
        <v>5109528.6806340581</v>
      </c>
      <c r="U28" s="253">
        <f t="shared" si="0"/>
        <v>391317.26923076925</v>
      </c>
      <c r="V28" s="253">
        <f t="shared" si="1"/>
        <v>-1289.130000000001</v>
      </c>
      <c r="W28" s="254">
        <f t="shared" si="3"/>
        <v>5499556.8198648272</v>
      </c>
      <c r="X28" s="236">
        <f t="shared" si="4"/>
        <v>6070.1510153033414</v>
      </c>
      <c r="Y28" s="255">
        <f t="shared" si="5"/>
        <v>1.7529940249995675</v>
      </c>
    </row>
    <row r="29" spans="1:25" x14ac:dyDescent="0.25">
      <c r="A29" s="111">
        <f>Données!A29</f>
        <v>5428</v>
      </c>
      <c r="B29" s="119" t="str">
        <f>Données!B29</f>
        <v>Gimel</v>
      </c>
      <c r="C29" s="249">
        <f>Données!C29</f>
        <v>2453</v>
      </c>
      <c r="D29" s="250">
        <f>Données!D29</f>
        <v>73</v>
      </c>
      <c r="E29" s="251">
        <f>Données!E29</f>
        <v>1.2</v>
      </c>
      <c r="F29" s="252">
        <f>Données!F29</f>
        <v>3969776.45</v>
      </c>
      <c r="G29" s="252">
        <f>Données!G29</f>
        <v>525296.76</v>
      </c>
      <c r="H29" s="252">
        <f>Données!H29</f>
        <v>116104</v>
      </c>
      <c r="I29" s="252">
        <f>Données!I29</f>
        <v>32314.85</v>
      </c>
      <c r="J29" s="252">
        <f>Données!J29</f>
        <v>0</v>
      </c>
      <c r="K29" s="252">
        <f>Données!K29</f>
        <v>15011.78</v>
      </c>
      <c r="L29" s="252">
        <f>Données!L29</f>
        <v>-86954.6</v>
      </c>
      <c r="M29" s="252">
        <f>Données!M29</f>
        <v>0</v>
      </c>
      <c r="N29" s="252">
        <f>Données!N29</f>
        <v>13817.59</v>
      </c>
      <c r="O29" s="252">
        <f>Données!O29</f>
        <v>544887.15</v>
      </c>
      <c r="P29" s="252">
        <f>Données!P29</f>
        <v>215680.3</v>
      </c>
      <c r="Q29" s="252">
        <f>Données!Q29</f>
        <v>26704.35</v>
      </c>
      <c r="R29" s="252">
        <f>Données!R29</f>
        <v>-517.41</v>
      </c>
      <c r="S29" s="244"/>
      <c r="T29" s="236">
        <f t="shared" si="2"/>
        <v>4228190.3835958522</v>
      </c>
      <c r="U29" s="253">
        <f t="shared" si="0"/>
        <v>454072.62500000006</v>
      </c>
      <c r="V29" s="253">
        <f t="shared" si="1"/>
        <v>241867.24</v>
      </c>
      <c r="W29" s="254">
        <f t="shared" si="3"/>
        <v>4924130.2485958524</v>
      </c>
      <c r="X29" s="236">
        <f t="shared" si="4"/>
        <v>2007.3910512009181</v>
      </c>
      <c r="Y29" s="255">
        <f t="shared" si="5"/>
        <v>0.57971284564770575</v>
      </c>
    </row>
    <row r="30" spans="1:25" x14ac:dyDescent="0.25">
      <c r="A30" s="111">
        <f>Données!A30</f>
        <v>5429</v>
      </c>
      <c r="B30" s="119" t="str">
        <f>Données!B30</f>
        <v>Longirod</v>
      </c>
      <c r="C30" s="249">
        <f>Données!C30</f>
        <v>558</v>
      </c>
      <c r="D30" s="250">
        <f>Données!D30</f>
        <v>77.5</v>
      </c>
      <c r="E30" s="251">
        <f>Données!E30</f>
        <v>1</v>
      </c>
      <c r="F30" s="252">
        <f>Données!F30</f>
        <v>1145854.8</v>
      </c>
      <c r="G30" s="252">
        <f>Données!G30</f>
        <v>169745.69</v>
      </c>
      <c r="H30" s="252">
        <f>Données!H30</f>
        <v>6554.55</v>
      </c>
      <c r="I30" s="252">
        <f>Données!I30</f>
        <v>3668</v>
      </c>
      <c r="J30" s="252">
        <f>Données!J30</f>
        <v>0</v>
      </c>
      <c r="K30" s="252">
        <f>Données!K30</f>
        <v>5705.34</v>
      </c>
      <c r="L30" s="252">
        <f>Données!L30</f>
        <v>-30187.22</v>
      </c>
      <c r="M30" s="252">
        <f>Données!M30</f>
        <v>0</v>
      </c>
      <c r="N30" s="252">
        <f>Données!N30</f>
        <v>951.71</v>
      </c>
      <c r="O30" s="252">
        <f>Données!O30</f>
        <v>117700.8</v>
      </c>
      <c r="P30" s="252">
        <f>Données!P30</f>
        <v>25081.84</v>
      </c>
      <c r="Q30" s="252">
        <f>Données!Q30</f>
        <v>1196.5</v>
      </c>
      <c r="R30" s="252">
        <f>Données!R30</f>
        <v>0</v>
      </c>
      <c r="S30" s="244"/>
      <c r="T30" s="236">
        <f t="shared" si="2"/>
        <v>1131124.1361864607</v>
      </c>
      <c r="U30" s="253">
        <f t="shared" si="0"/>
        <v>117700.8</v>
      </c>
      <c r="V30" s="253">
        <f t="shared" si="1"/>
        <v>26278.34</v>
      </c>
      <c r="W30" s="254">
        <f t="shared" si="3"/>
        <v>1275103.2761864609</v>
      </c>
      <c r="X30" s="236">
        <f t="shared" si="4"/>
        <v>2285.131319330575</v>
      </c>
      <c r="Y30" s="255">
        <f t="shared" si="5"/>
        <v>0.65992123408904935</v>
      </c>
    </row>
    <row r="31" spans="1:25" x14ac:dyDescent="0.25">
      <c r="A31" s="111">
        <f>Données!A31</f>
        <v>5430</v>
      </c>
      <c r="B31" s="119" t="str">
        <f>Données!B31</f>
        <v>Marchissy</v>
      </c>
      <c r="C31" s="249">
        <f>Données!C31</f>
        <v>492</v>
      </c>
      <c r="D31" s="250">
        <f>Données!D31</f>
        <v>77.5</v>
      </c>
      <c r="E31" s="251">
        <f>Données!E31</f>
        <v>1</v>
      </c>
      <c r="F31" s="252">
        <f>Données!F31</f>
        <v>1026629.84</v>
      </c>
      <c r="G31" s="252">
        <f>Données!G31</f>
        <v>208596.19</v>
      </c>
      <c r="H31" s="252">
        <f>Données!H31</f>
        <v>10712.3</v>
      </c>
      <c r="I31" s="252">
        <f>Données!I31</f>
        <v>882.2</v>
      </c>
      <c r="J31" s="252">
        <f>Données!J31</f>
        <v>0</v>
      </c>
      <c r="K31" s="252">
        <f>Données!K31</f>
        <v>0</v>
      </c>
      <c r="L31" s="252">
        <f>Données!L31</f>
        <v>-2404.4</v>
      </c>
      <c r="M31" s="252">
        <f>Données!M31</f>
        <v>0</v>
      </c>
      <c r="N31" s="252">
        <f>Données!N31</f>
        <v>1079.43</v>
      </c>
      <c r="O31" s="252">
        <f>Données!O31</f>
        <v>97462.8</v>
      </c>
      <c r="P31" s="252">
        <f>Données!P31</f>
        <v>10438</v>
      </c>
      <c r="Q31" s="252">
        <f>Données!Q31</f>
        <v>1015.5</v>
      </c>
      <c r="R31" s="252">
        <f>Données!R31</f>
        <v>-451.6</v>
      </c>
      <c r="S31" s="244"/>
      <c r="T31" s="236">
        <f t="shared" si="2"/>
        <v>1081792.0622026226</v>
      </c>
      <c r="U31" s="253">
        <f t="shared" si="0"/>
        <v>97462.8</v>
      </c>
      <c r="V31" s="253">
        <f t="shared" si="1"/>
        <v>11001.9</v>
      </c>
      <c r="W31" s="254">
        <f t="shared" si="3"/>
        <v>1190256.7622026226</v>
      </c>
      <c r="X31" s="236">
        <f t="shared" si="4"/>
        <v>2419.2210613874445</v>
      </c>
      <c r="Y31" s="255">
        <f t="shared" si="5"/>
        <v>0.6986449027501459</v>
      </c>
    </row>
    <row r="32" spans="1:25" x14ac:dyDescent="0.25">
      <c r="A32" s="111">
        <f>Données!A32</f>
        <v>5431</v>
      </c>
      <c r="B32" s="119" t="str">
        <f>Données!B32</f>
        <v>Mollens</v>
      </c>
      <c r="C32" s="249">
        <f>Données!C32</f>
        <v>320</v>
      </c>
      <c r="D32" s="250">
        <f>Données!D32</f>
        <v>74</v>
      </c>
      <c r="E32" s="251">
        <f>Données!E32</f>
        <v>1</v>
      </c>
      <c r="F32" s="252">
        <f>Données!F32</f>
        <v>858797.9</v>
      </c>
      <c r="G32" s="252">
        <f>Données!G32</f>
        <v>141622.6</v>
      </c>
      <c r="H32" s="252">
        <f>Données!H32</f>
        <v>6323.55</v>
      </c>
      <c r="I32" s="252">
        <f>Données!I32</f>
        <v>1708.4</v>
      </c>
      <c r="J32" s="252">
        <f>Données!J32</f>
        <v>0</v>
      </c>
      <c r="K32" s="252">
        <f>Données!K32</f>
        <v>0</v>
      </c>
      <c r="L32" s="252">
        <f>Données!L32</f>
        <v>-12190.79</v>
      </c>
      <c r="M32" s="252">
        <f>Données!M32</f>
        <v>0</v>
      </c>
      <c r="N32" s="252">
        <f>Données!N32</f>
        <v>747.76</v>
      </c>
      <c r="O32" s="252">
        <f>Données!O32</f>
        <v>59423.7</v>
      </c>
      <c r="P32" s="252">
        <f>Données!P32</f>
        <v>13993.58</v>
      </c>
      <c r="Q32" s="252">
        <f>Données!Q32</f>
        <v>1133.5</v>
      </c>
      <c r="R32" s="252">
        <f>Données!R32</f>
        <v>-816.05</v>
      </c>
      <c r="S32" s="244"/>
      <c r="T32" s="236">
        <f t="shared" si="2"/>
        <v>906923.90885518293</v>
      </c>
      <c r="U32" s="253">
        <f t="shared" si="0"/>
        <v>59423.7</v>
      </c>
      <c r="V32" s="253">
        <f t="shared" si="1"/>
        <v>14311.03</v>
      </c>
      <c r="W32" s="254">
        <f t="shared" si="3"/>
        <v>980658.63885518291</v>
      </c>
      <c r="X32" s="236">
        <f t="shared" si="4"/>
        <v>3064.5582464224467</v>
      </c>
      <c r="Y32" s="255">
        <f t="shared" si="5"/>
        <v>0.88501130889463397</v>
      </c>
    </row>
    <row r="33" spans="1:25" x14ac:dyDescent="0.25">
      <c r="A33" s="111">
        <f>Données!A33</f>
        <v>5434</v>
      </c>
      <c r="B33" s="119" t="str">
        <f>Données!B33</f>
        <v>Saint-George</v>
      </c>
      <c r="C33" s="249">
        <f>Données!C33</f>
        <v>1082</v>
      </c>
      <c r="D33" s="250">
        <f>Données!D33</f>
        <v>69.5</v>
      </c>
      <c r="E33" s="251">
        <f>Données!E33</f>
        <v>1.2</v>
      </c>
      <c r="F33" s="252">
        <f>Données!F33</f>
        <v>3369206.36</v>
      </c>
      <c r="G33" s="252">
        <f>Données!G33</f>
        <v>388320.28</v>
      </c>
      <c r="H33" s="252">
        <f>Données!H33</f>
        <v>14539.75</v>
      </c>
      <c r="I33" s="252">
        <f>Données!I33</f>
        <v>6004.4</v>
      </c>
      <c r="J33" s="252">
        <f>Données!J33</f>
        <v>0</v>
      </c>
      <c r="K33" s="252">
        <f>Données!K33</f>
        <v>70571.08</v>
      </c>
      <c r="L33" s="252">
        <f>Données!L33</f>
        <v>-70803.95</v>
      </c>
      <c r="M33" s="252">
        <f>Données!M33</f>
        <v>0</v>
      </c>
      <c r="N33" s="252">
        <f>Données!N33</f>
        <v>1912.63</v>
      </c>
      <c r="O33" s="252">
        <f>Données!O33</f>
        <v>305651.34999999998</v>
      </c>
      <c r="P33" s="252">
        <f>Données!P33</f>
        <v>64853.71</v>
      </c>
      <c r="Q33" s="252">
        <f>Données!Q33</f>
        <v>4799.2</v>
      </c>
      <c r="R33" s="252">
        <f>Données!R33</f>
        <v>-2514</v>
      </c>
      <c r="S33" s="244"/>
      <c r="T33" s="236">
        <f t="shared" si="2"/>
        <v>3660847.5481722821</v>
      </c>
      <c r="U33" s="253">
        <f t="shared" si="0"/>
        <v>254709.45833333331</v>
      </c>
      <c r="V33" s="253">
        <f t="shared" si="1"/>
        <v>67138.91</v>
      </c>
      <c r="W33" s="254">
        <f t="shared" si="3"/>
        <v>3982695.9165056157</v>
      </c>
      <c r="X33" s="236">
        <f t="shared" si="4"/>
        <v>3680.8649875282954</v>
      </c>
      <c r="Y33" s="255">
        <f t="shared" si="5"/>
        <v>1.0629940365074688</v>
      </c>
    </row>
    <row r="34" spans="1:25" x14ac:dyDescent="0.25">
      <c r="A34" s="111">
        <f>Données!A34</f>
        <v>5435</v>
      </c>
      <c r="B34" s="119" t="str">
        <f>Données!B34</f>
        <v>Saint-Livres</v>
      </c>
      <c r="C34" s="249">
        <f>Données!C34</f>
        <v>708</v>
      </c>
      <c r="D34" s="250">
        <f>Données!D34</f>
        <v>69</v>
      </c>
      <c r="E34" s="251">
        <f>Données!E34</f>
        <v>1</v>
      </c>
      <c r="F34" s="252">
        <f>Données!F34</f>
        <v>1337091.78</v>
      </c>
      <c r="G34" s="252">
        <f>Données!G34</f>
        <v>161115.14000000001</v>
      </c>
      <c r="H34" s="252">
        <f>Données!H34</f>
        <v>10714.35</v>
      </c>
      <c r="I34" s="252">
        <f>Données!I34</f>
        <v>908</v>
      </c>
      <c r="J34" s="252">
        <f>Données!J34</f>
        <v>0</v>
      </c>
      <c r="K34" s="252">
        <f>Données!K34</f>
        <v>545.47</v>
      </c>
      <c r="L34" s="252">
        <f>Données!L34</f>
        <v>-17435.849999999999</v>
      </c>
      <c r="M34" s="252">
        <f>Données!M34</f>
        <v>0</v>
      </c>
      <c r="N34" s="252">
        <f>Données!N34</f>
        <v>1082.02</v>
      </c>
      <c r="O34" s="252">
        <f>Données!O34</f>
        <v>143466.1</v>
      </c>
      <c r="P34" s="252">
        <f>Données!P34</f>
        <v>41867.06</v>
      </c>
      <c r="Q34" s="252">
        <f>Données!Q34</f>
        <v>0</v>
      </c>
      <c r="R34" s="252">
        <f>Données!R34</f>
        <v>-780.4</v>
      </c>
      <c r="S34" s="244"/>
      <c r="T34" s="236">
        <f t="shared" si="2"/>
        <v>1457507.822541541</v>
      </c>
      <c r="U34" s="253">
        <f t="shared" si="0"/>
        <v>143466.1</v>
      </c>
      <c r="V34" s="253">
        <f t="shared" si="1"/>
        <v>41086.659999999996</v>
      </c>
      <c r="W34" s="254">
        <f t="shared" si="3"/>
        <v>1642060.582541541</v>
      </c>
      <c r="X34" s="236">
        <f t="shared" si="4"/>
        <v>2319.2946081095211</v>
      </c>
      <c r="Y34" s="255">
        <f t="shared" si="5"/>
        <v>0.66978722275273239</v>
      </c>
    </row>
    <row r="35" spans="1:25" x14ac:dyDescent="0.25">
      <c r="A35" s="111">
        <f>Données!A35</f>
        <v>5436</v>
      </c>
      <c r="B35" s="119" t="str">
        <f>Données!B35</f>
        <v>Saint-Oyens</v>
      </c>
      <c r="C35" s="249">
        <f>Données!C35</f>
        <v>449</v>
      </c>
      <c r="D35" s="250">
        <f>Données!D35</f>
        <v>77</v>
      </c>
      <c r="E35" s="251">
        <f>Données!E35</f>
        <v>0.8</v>
      </c>
      <c r="F35" s="252">
        <f>Données!F35</f>
        <v>1275160.8899999999</v>
      </c>
      <c r="G35" s="252">
        <f>Données!G35</f>
        <v>109993.72</v>
      </c>
      <c r="H35" s="252">
        <f>Données!H35</f>
        <v>-818.4</v>
      </c>
      <c r="I35" s="252">
        <f>Données!I35</f>
        <v>1304.3499999999999</v>
      </c>
      <c r="J35" s="252">
        <f>Données!J35</f>
        <v>20581.25</v>
      </c>
      <c r="K35" s="252">
        <f>Données!K35</f>
        <v>0</v>
      </c>
      <c r="L35" s="252">
        <f>Données!L35</f>
        <v>-10456.84</v>
      </c>
      <c r="M35" s="252">
        <f>Données!M35</f>
        <v>0</v>
      </c>
      <c r="N35" s="252">
        <f>Données!N35</f>
        <v>45.24</v>
      </c>
      <c r="O35" s="252">
        <f>Données!O35</f>
        <v>75923.7</v>
      </c>
      <c r="P35" s="252">
        <f>Données!P35</f>
        <v>6287.51</v>
      </c>
      <c r="Q35" s="252">
        <f>Données!Q35</f>
        <v>0</v>
      </c>
      <c r="R35" s="252">
        <f>Données!R35</f>
        <v>-1211.2</v>
      </c>
      <c r="S35" s="244"/>
      <c r="T35" s="236">
        <f t="shared" si="2"/>
        <v>1220222.2921723281</v>
      </c>
      <c r="U35" s="253">
        <f t="shared" si="0"/>
        <v>94904.624999999985</v>
      </c>
      <c r="V35" s="253">
        <f t="shared" si="1"/>
        <v>5076.3100000000004</v>
      </c>
      <c r="W35" s="254">
        <f t="shared" si="3"/>
        <v>1320203.2271723282</v>
      </c>
      <c r="X35" s="236">
        <f t="shared" si="4"/>
        <v>2940.3189914751183</v>
      </c>
      <c r="Y35" s="255">
        <f t="shared" si="5"/>
        <v>0.84913235447587287</v>
      </c>
    </row>
    <row r="36" spans="1:25" x14ac:dyDescent="0.25">
      <c r="A36" s="111">
        <f>Données!A36</f>
        <v>5437</v>
      </c>
      <c r="B36" s="119" t="str">
        <f>Données!B36</f>
        <v>Saubraz</v>
      </c>
      <c r="C36" s="249">
        <f>Données!C36</f>
        <v>441</v>
      </c>
      <c r="D36" s="250">
        <f>Données!D36</f>
        <v>80</v>
      </c>
      <c r="E36" s="251">
        <f>Données!E36</f>
        <v>1</v>
      </c>
      <c r="F36" s="252">
        <f>Données!F36</f>
        <v>979350.07</v>
      </c>
      <c r="G36" s="252">
        <f>Données!G36</f>
        <v>69854.67</v>
      </c>
      <c r="H36" s="252">
        <f>Données!H36</f>
        <v>16895.849999999999</v>
      </c>
      <c r="I36" s="252">
        <f>Données!I36</f>
        <v>2305.8000000000002</v>
      </c>
      <c r="J36" s="252">
        <f>Données!J36</f>
        <v>0</v>
      </c>
      <c r="K36" s="252">
        <f>Données!K36</f>
        <v>0</v>
      </c>
      <c r="L36" s="252">
        <f>Données!L36</f>
        <v>-2623.19</v>
      </c>
      <c r="M36" s="252">
        <f>Données!M36</f>
        <v>0</v>
      </c>
      <c r="N36" s="252">
        <f>Données!N36</f>
        <v>2583.64</v>
      </c>
      <c r="O36" s="252">
        <f>Données!O36</f>
        <v>88307.3</v>
      </c>
      <c r="P36" s="252">
        <f>Données!P36</f>
        <v>32103.72</v>
      </c>
      <c r="Q36" s="252">
        <f>Données!Q36</f>
        <v>3145.2</v>
      </c>
      <c r="R36" s="252">
        <f>Données!R36</f>
        <v>-179.7</v>
      </c>
      <c r="S36" s="244"/>
      <c r="T36" s="236">
        <f t="shared" si="2"/>
        <v>898946.24398559378</v>
      </c>
      <c r="U36" s="253">
        <f t="shared" si="0"/>
        <v>88307.3</v>
      </c>
      <c r="V36" s="253">
        <f t="shared" si="1"/>
        <v>35069.22</v>
      </c>
      <c r="W36" s="254">
        <f t="shared" si="3"/>
        <v>1022322.7639855938</v>
      </c>
      <c r="X36" s="236">
        <f t="shared" si="4"/>
        <v>2318.1922085841129</v>
      </c>
      <c r="Y36" s="255">
        <f t="shared" si="5"/>
        <v>0.66946886168126474</v>
      </c>
    </row>
    <row r="37" spans="1:25" x14ac:dyDescent="0.25">
      <c r="A37" s="111">
        <f>Données!A37</f>
        <v>5451</v>
      </c>
      <c r="B37" s="119" t="str">
        <f>Données!B37</f>
        <v>Avenches</v>
      </c>
      <c r="C37" s="249">
        <f>Données!C37</f>
        <v>4953</v>
      </c>
      <c r="D37" s="250">
        <f>Données!D37</f>
        <v>65</v>
      </c>
      <c r="E37" s="251">
        <f>Données!E37</f>
        <v>1.5</v>
      </c>
      <c r="F37" s="252">
        <f>Données!F37</f>
        <v>5385007.2199999997</v>
      </c>
      <c r="G37" s="252">
        <f>Données!G37</f>
        <v>646543.44999999995</v>
      </c>
      <c r="H37" s="252">
        <f>Données!H37</f>
        <v>1484259.1</v>
      </c>
      <c r="I37" s="252">
        <f>Données!I37</f>
        <v>57865</v>
      </c>
      <c r="J37" s="252">
        <f>Données!J37</f>
        <v>0</v>
      </c>
      <c r="K37" s="252">
        <f>Données!K37</f>
        <v>65596.679999999993</v>
      </c>
      <c r="L37" s="252">
        <f>Données!L37</f>
        <v>-264531.25</v>
      </c>
      <c r="M37" s="252">
        <f>Données!M37</f>
        <v>0</v>
      </c>
      <c r="N37" s="252">
        <f>Données!N37</f>
        <v>143569.59</v>
      </c>
      <c r="O37" s="252">
        <f>Données!O37</f>
        <v>1576843.5</v>
      </c>
      <c r="P37" s="252">
        <f>Données!P37</f>
        <v>501492.21</v>
      </c>
      <c r="Q37" s="252">
        <f>Données!Q37</f>
        <v>144807.95000000001</v>
      </c>
      <c r="R37" s="252">
        <f>Données!R37</f>
        <v>-2224.75</v>
      </c>
      <c r="S37" s="244"/>
      <c r="T37" s="236">
        <f t="shared" si="2"/>
        <v>7785924.1645047013</v>
      </c>
      <c r="U37" s="253">
        <f t="shared" si="0"/>
        <v>1051229</v>
      </c>
      <c r="V37" s="253">
        <f t="shared" si="1"/>
        <v>644075.41</v>
      </c>
      <c r="W37" s="254">
        <f t="shared" si="3"/>
        <v>9481228.5745047014</v>
      </c>
      <c r="X37" s="236">
        <f t="shared" si="4"/>
        <v>1914.2395668291342</v>
      </c>
      <c r="Y37" s="255">
        <f t="shared" si="5"/>
        <v>0.55281170346658037</v>
      </c>
    </row>
    <row r="38" spans="1:25" x14ac:dyDescent="0.25">
      <c r="A38" s="111">
        <f>Données!A38</f>
        <v>5456</v>
      </c>
      <c r="B38" s="119" t="str">
        <f>Données!B38</f>
        <v>Cudrefin</v>
      </c>
      <c r="C38" s="249">
        <f>Données!C38</f>
        <v>1915</v>
      </c>
      <c r="D38" s="250">
        <f>Données!D38</f>
        <v>59</v>
      </c>
      <c r="E38" s="251">
        <f>Données!E38</f>
        <v>1.5</v>
      </c>
      <c r="F38" s="252">
        <f>Données!F38</f>
        <v>3388005.39</v>
      </c>
      <c r="G38" s="252">
        <f>Données!G38</f>
        <v>341212.43</v>
      </c>
      <c r="H38" s="252">
        <f>Données!H38</f>
        <v>16326.55</v>
      </c>
      <c r="I38" s="252">
        <f>Données!I38</f>
        <v>13344.75</v>
      </c>
      <c r="J38" s="252">
        <f>Données!J38</f>
        <v>0</v>
      </c>
      <c r="K38" s="252">
        <f>Données!K38</f>
        <v>357.9</v>
      </c>
      <c r="L38" s="252">
        <f>Données!L38</f>
        <v>-7709.78</v>
      </c>
      <c r="M38" s="252">
        <f>Données!M38</f>
        <v>0</v>
      </c>
      <c r="N38" s="252">
        <f>Données!N38</f>
        <v>2762.36</v>
      </c>
      <c r="O38" s="252">
        <f>Données!O38</f>
        <v>599052.94999999995</v>
      </c>
      <c r="P38" s="252">
        <f>Données!P38</f>
        <v>29185.9</v>
      </c>
      <c r="Q38" s="252">
        <f>Données!Q38</f>
        <v>4193.45</v>
      </c>
      <c r="R38" s="252">
        <f>Données!R38</f>
        <v>-1000</v>
      </c>
      <c r="S38" s="244"/>
      <c r="T38" s="236">
        <f t="shared" si="2"/>
        <v>4283317.0778130619</v>
      </c>
      <c r="U38" s="253">
        <f t="shared" si="0"/>
        <v>399368.6333333333</v>
      </c>
      <c r="V38" s="253">
        <f t="shared" si="1"/>
        <v>32379.35</v>
      </c>
      <c r="W38" s="254">
        <f t="shared" si="3"/>
        <v>4715065.0611463953</v>
      </c>
      <c r="X38" s="236">
        <f t="shared" si="4"/>
        <v>2462.1749666560809</v>
      </c>
      <c r="Y38" s="255">
        <f t="shared" si="5"/>
        <v>0.71104952647309527</v>
      </c>
    </row>
    <row r="39" spans="1:25" x14ac:dyDescent="0.25">
      <c r="A39" s="111">
        <f>Données!A39</f>
        <v>5458</v>
      </c>
      <c r="B39" s="119" t="str">
        <f>Données!B39</f>
        <v>Faoug</v>
      </c>
      <c r="C39" s="249">
        <f>Données!C39</f>
        <v>902</v>
      </c>
      <c r="D39" s="250">
        <f>Données!D39</f>
        <v>65</v>
      </c>
      <c r="E39" s="251">
        <f>Données!E39</f>
        <v>1.5</v>
      </c>
      <c r="F39" s="252">
        <f>Données!F39</f>
        <v>1474155.8</v>
      </c>
      <c r="G39" s="252">
        <f>Données!G39</f>
        <v>302982.78999999998</v>
      </c>
      <c r="H39" s="252">
        <f>Données!H39</f>
        <v>16288.75</v>
      </c>
      <c r="I39" s="252">
        <f>Données!I39</f>
        <v>4341.1000000000004</v>
      </c>
      <c r="J39" s="252">
        <f>Données!J39</f>
        <v>0</v>
      </c>
      <c r="K39" s="252">
        <f>Données!K39</f>
        <v>859.57</v>
      </c>
      <c r="L39" s="252">
        <f>Données!L39</f>
        <v>-22290.95</v>
      </c>
      <c r="M39" s="252">
        <f>Données!M39</f>
        <v>0</v>
      </c>
      <c r="N39" s="252">
        <f>Données!N39</f>
        <v>1920.61</v>
      </c>
      <c r="O39" s="252">
        <f>Données!O39</f>
        <v>299653.09999999998</v>
      </c>
      <c r="P39" s="252">
        <f>Données!P39</f>
        <v>74351.839999999997</v>
      </c>
      <c r="Q39" s="252">
        <f>Données!Q39</f>
        <v>13446.75</v>
      </c>
      <c r="R39" s="252">
        <f>Données!R39</f>
        <v>-1120.55</v>
      </c>
      <c r="S39" s="244"/>
      <c r="T39" s="236">
        <f t="shared" si="2"/>
        <v>1841554.7842926586</v>
      </c>
      <c r="U39" s="253">
        <f t="shared" si="0"/>
        <v>199768.73333333331</v>
      </c>
      <c r="V39" s="253">
        <f t="shared" si="1"/>
        <v>86678.04</v>
      </c>
      <c r="W39" s="254">
        <f t="shared" si="3"/>
        <v>2128001.5576259918</v>
      </c>
      <c r="X39" s="236">
        <f t="shared" si="4"/>
        <v>2359.2035006940041</v>
      </c>
      <c r="Y39" s="255">
        <f t="shared" si="5"/>
        <v>0.6813124797139799</v>
      </c>
    </row>
    <row r="40" spans="1:25" x14ac:dyDescent="0.25">
      <c r="A40" s="111">
        <f>Données!A40</f>
        <v>5464</v>
      </c>
      <c r="B40" s="119" t="str">
        <f>Données!B40</f>
        <v>Vully-les-Lacs</v>
      </c>
      <c r="C40" s="249">
        <f>Données!C40</f>
        <v>3698</v>
      </c>
      <c r="D40" s="250">
        <f>Données!D40</f>
        <v>67</v>
      </c>
      <c r="E40" s="251">
        <f>Données!E40</f>
        <v>1.5</v>
      </c>
      <c r="F40" s="252">
        <f>Données!F40</f>
        <v>6321246.2599999998</v>
      </c>
      <c r="G40" s="252">
        <f>Données!G40</f>
        <v>1210376.94</v>
      </c>
      <c r="H40" s="252">
        <f>Données!H40</f>
        <v>112243.45</v>
      </c>
      <c r="I40" s="252">
        <f>Données!I40</f>
        <v>24186.3</v>
      </c>
      <c r="J40" s="252">
        <f>Données!J40</f>
        <v>34844.5</v>
      </c>
      <c r="K40" s="252">
        <f>Données!K40</f>
        <v>37982.31</v>
      </c>
      <c r="L40" s="252">
        <f>Données!L40</f>
        <v>-140950.49</v>
      </c>
      <c r="M40" s="252">
        <f>Données!M40</f>
        <v>0</v>
      </c>
      <c r="N40" s="252">
        <f>Données!N40</f>
        <v>12701.42</v>
      </c>
      <c r="O40" s="252">
        <f>Données!O40</f>
        <v>1232159.8500000001</v>
      </c>
      <c r="P40" s="252">
        <f>Données!P40</f>
        <v>139210.76999999999</v>
      </c>
      <c r="Q40" s="252">
        <f>Données!Q40</f>
        <v>43979.8</v>
      </c>
      <c r="R40" s="252">
        <f>Données!R40</f>
        <v>-3960.85</v>
      </c>
      <c r="S40" s="244"/>
      <c r="T40" s="236">
        <f t="shared" si="2"/>
        <v>7648271.003183024</v>
      </c>
      <c r="U40" s="253">
        <f t="shared" si="0"/>
        <v>821439.9</v>
      </c>
      <c r="V40" s="253">
        <f t="shared" si="1"/>
        <v>179229.72</v>
      </c>
      <c r="W40" s="254">
        <f t="shared" si="3"/>
        <v>8648940.623183025</v>
      </c>
      <c r="X40" s="236">
        <f t="shared" si="4"/>
        <v>2338.815744505956</v>
      </c>
      <c r="Y40" s="255">
        <f t="shared" si="5"/>
        <v>0.67542471601737764</v>
      </c>
    </row>
    <row r="41" spans="1:25" x14ac:dyDescent="0.25">
      <c r="A41" s="111">
        <f>Données!A41</f>
        <v>5471</v>
      </c>
      <c r="B41" s="119" t="str">
        <f>Données!B41</f>
        <v>Bettens</v>
      </c>
      <c r="C41" s="249">
        <f>Données!C41</f>
        <v>652</v>
      </c>
      <c r="D41" s="250">
        <f>Données!D41</f>
        <v>70</v>
      </c>
      <c r="E41" s="251">
        <f>Données!E41</f>
        <v>0.9</v>
      </c>
      <c r="F41" s="252">
        <f>Données!F41</f>
        <v>1396590.25</v>
      </c>
      <c r="G41" s="252">
        <f>Données!G41</f>
        <v>156741.21</v>
      </c>
      <c r="H41" s="252">
        <f>Données!H41</f>
        <v>43088.95</v>
      </c>
      <c r="I41" s="252">
        <f>Données!I41</f>
        <v>2673.45</v>
      </c>
      <c r="J41" s="252">
        <f>Données!J41</f>
        <v>0</v>
      </c>
      <c r="K41" s="252">
        <f>Données!K41</f>
        <v>10231.5</v>
      </c>
      <c r="L41" s="252">
        <f>Données!L41</f>
        <v>-23453.360000000001</v>
      </c>
      <c r="M41" s="252">
        <f>Données!M41</f>
        <v>0</v>
      </c>
      <c r="N41" s="252">
        <f>Données!N41</f>
        <v>4260.42</v>
      </c>
      <c r="O41" s="252">
        <f>Données!O41</f>
        <v>128473.8</v>
      </c>
      <c r="P41" s="252">
        <f>Données!P41</f>
        <v>48953.85</v>
      </c>
      <c r="Q41" s="252">
        <f>Données!Q41</f>
        <v>5820.25</v>
      </c>
      <c r="R41" s="252">
        <f>Données!R41</f>
        <v>-680.05</v>
      </c>
      <c r="S41" s="244"/>
      <c r="T41" s="236">
        <f t="shared" si="2"/>
        <v>1529109.4116792022</v>
      </c>
      <c r="U41" s="253">
        <f t="shared" si="0"/>
        <v>142748.66666666666</v>
      </c>
      <c r="V41" s="253">
        <f t="shared" si="1"/>
        <v>54094.049999999996</v>
      </c>
      <c r="W41" s="254">
        <f t="shared" si="3"/>
        <v>1725952.128345869</v>
      </c>
      <c r="X41" s="236">
        <f t="shared" si="4"/>
        <v>2647.1658410212717</v>
      </c>
      <c r="Y41" s="255">
        <f t="shared" si="5"/>
        <v>0.76447289215610204</v>
      </c>
    </row>
    <row r="42" spans="1:25" x14ac:dyDescent="0.25">
      <c r="A42" s="111">
        <f>Données!A42</f>
        <v>5472</v>
      </c>
      <c r="B42" s="119" t="str">
        <f>Données!B42</f>
        <v>Bournens</v>
      </c>
      <c r="C42" s="249">
        <f>Données!C42</f>
        <v>612</v>
      </c>
      <c r="D42" s="250">
        <f>Données!D42</f>
        <v>65</v>
      </c>
      <c r="E42" s="251">
        <f>Données!E42</f>
        <v>1</v>
      </c>
      <c r="F42" s="252">
        <f>Données!F42</f>
        <v>1223893.49</v>
      </c>
      <c r="G42" s="252">
        <f>Données!G42</f>
        <v>173088.8</v>
      </c>
      <c r="H42" s="252">
        <f>Données!H42</f>
        <v>6227.55</v>
      </c>
      <c r="I42" s="252">
        <f>Données!I42</f>
        <v>4621.7</v>
      </c>
      <c r="J42" s="252">
        <f>Données!J42</f>
        <v>0</v>
      </c>
      <c r="K42" s="252">
        <f>Données!K42</f>
        <v>24.69</v>
      </c>
      <c r="L42" s="252">
        <f>Données!L42</f>
        <v>-14482.28</v>
      </c>
      <c r="M42" s="252">
        <f>Données!M42</f>
        <v>0</v>
      </c>
      <c r="N42" s="252">
        <f>Données!N42</f>
        <v>1010.05</v>
      </c>
      <c r="O42" s="252">
        <f>Données!O42</f>
        <v>127589.4</v>
      </c>
      <c r="P42" s="252">
        <f>Données!P42</f>
        <v>23579.25</v>
      </c>
      <c r="Q42" s="252">
        <f>Données!Q42</f>
        <v>948.45</v>
      </c>
      <c r="R42" s="252">
        <f>Données!R42</f>
        <v>-901.4</v>
      </c>
      <c r="S42" s="244"/>
      <c r="T42" s="236">
        <f t="shared" si="2"/>
        <v>1444017.1239869494</v>
      </c>
      <c r="U42" s="253">
        <f t="shared" si="0"/>
        <v>127589.4</v>
      </c>
      <c r="V42" s="253">
        <f t="shared" si="1"/>
        <v>23626.3</v>
      </c>
      <c r="W42" s="254">
        <f t="shared" si="3"/>
        <v>1595232.8239869494</v>
      </c>
      <c r="X42" s="236">
        <f t="shared" si="4"/>
        <v>2606.5895816780221</v>
      </c>
      <c r="Y42" s="255">
        <f t="shared" si="5"/>
        <v>0.75275490688584679</v>
      </c>
    </row>
    <row r="43" spans="1:25" x14ac:dyDescent="0.25">
      <c r="A43" s="111">
        <f>Données!A43</f>
        <v>5473</v>
      </c>
      <c r="B43" s="119" t="str">
        <f>Données!B43</f>
        <v>Boussens</v>
      </c>
      <c r="C43" s="249">
        <f>Données!C43</f>
        <v>1016</v>
      </c>
      <c r="D43" s="250">
        <f>Données!D43</f>
        <v>64</v>
      </c>
      <c r="E43" s="251">
        <f>Données!E43</f>
        <v>1</v>
      </c>
      <c r="F43" s="252">
        <f>Données!F43</f>
        <v>1934789.64</v>
      </c>
      <c r="G43" s="252">
        <f>Données!G43</f>
        <v>207689.97</v>
      </c>
      <c r="H43" s="252">
        <f>Données!H43</f>
        <v>18430.5</v>
      </c>
      <c r="I43" s="252">
        <f>Données!I43</f>
        <v>2272.1</v>
      </c>
      <c r="J43" s="252">
        <f>Données!J43</f>
        <v>0</v>
      </c>
      <c r="K43" s="252">
        <f>Données!K43</f>
        <v>1794.22</v>
      </c>
      <c r="L43" s="252">
        <f>Données!L43</f>
        <v>-7505.27</v>
      </c>
      <c r="M43" s="252">
        <f>Données!M43</f>
        <v>0</v>
      </c>
      <c r="N43" s="252">
        <f>Données!N43</f>
        <v>1927.38</v>
      </c>
      <c r="O43" s="252">
        <f>Données!O43</f>
        <v>208240.5</v>
      </c>
      <c r="P43" s="252">
        <f>Données!P43</f>
        <v>19914.59</v>
      </c>
      <c r="Q43" s="252">
        <f>Données!Q43</f>
        <v>5169.75</v>
      </c>
      <c r="R43" s="252">
        <f>Données!R43</f>
        <v>-229.65</v>
      </c>
      <c r="S43" s="244"/>
      <c r="T43" s="236">
        <f t="shared" si="2"/>
        <v>2271203.9700719453</v>
      </c>
      <c r="U43" s="253">
        <f t="shared" si="0"/>
        <v>208240.5</v>
      </c>
      <c r="V43" s="253">
        <f t="shared" si="1"/>
        <v>24854.69</v>
      </c>
      <c r="W43" s="254">
        <f t="shared" si="3"/>
        <v>2504299.1600719453</v>
      </c>
      <c r="X43" s="236">
        <f t="shared" si="4"/>
        <v>2464.8613780235682</v>
      </c>
      <c r="Y43" s="255">
        <f t="shared" si="5"/>
        <v>0.71182533304924533</v>
      </c>
    </row>
    <row r="44" spans="1:25" x14ac:dyDescent="0.25">
      <c r="A44" s="111">
        <f>Données!A44</f>
        <v>5474</v>
      </c>
      <c r="B44" s="119" t="str">
        <f>Données!B44</f>
        <v>La Chaux (Cossonay)</v>
      </c>
      <c r="C44" s="249">
        <f>Données!C44</f>
        <v>421</v>
      </c>
      <c r="D44" s="250">
        <f>Données!D44</f>
        <v>76</v>
      </c>
      <c r="E44" s="251">
        <f>Données!E44</f>
        <v>1.2</v>
      </c>
      <c r="F44" s="252">
        <f>Données!F44</f>
        <v>786129.75</v>
      </c>
      <c r="G44" s="252">
        <f>Données!G44</f>
        <v>129962.1</v>
      </c>
      <c r="H44" s="252">
        <f>Données!H44</f>
        <v>8281.4</v>
      </c>
      <c r="I44" s="252">
        <f>Données!I44</f>
        <v>3582</v>
      </c>
      <c r="J44" s="252">
        <f>Données!J44</f>
        <v>0</v>
      </c>
      <c r="K44" s="252">
        <f>Données!K44</f>
        <v>7241.04</v>
      </c>
      <c r="L44" s="252">
        <f>Données!L44</f>
        <v>-14899.31</v>
      </c>
      <c r="M44" s="252">
        <f>Données!M44</f>
        <v>0</v>
      </c>
      <c r="N44" s="252">
        <f>Données!N44</f>
        <v>1104.47</v>
      </c>
      <c r="O44" s="252">
        <f>Données!O44</f>
        <v>98710.25</v>
      </c>
      <c r="P44" s="252">
        <f>Données!P44</f>
        <v>10381.719999999999</v>
      </c>
      <c r="Q44" s="252">
        <f>Données!Q44</f>
        <v>804.45</v>
      </c>
      <c r="R44" s="252">
        <f>Données!R44</f>
        <v>-3.07</v>
      </c>
      <c r="S44" s="244"/>
      <c r="T44" s="236">
        <f t="shared" si="2"/>
        <v>816091.03743939905</v>
      </c>
      <c r="U44" s="253">
        <f t="shared" si="0"/>
        <v>82258.541666666672</v>
      </c>
      <c r="V44" s="253">
        <f t="shared" si="1"/>
        <v>11183.1</v>
      </c>
      <c r="W44" s="254">
        <f t="shared" si="3"/>
        <v>909532.67910606565</v>
      </c>
      <c r="X44" s="236">
        <f t="shared" si="4"/>
        <v>2160.4101641474244</v>
      </c>
      <c r="Y44" s="255">
        <f t="shared" si="5"/>
        <v>0.62390311208913385</v>
      </c>
    </row>
    <row r="45" spans="1:25" x14ac:dyDescent="0.25">
      <c r="A45" s="111">
        <f>Données!A45</f>
        <v>5475</v>
      </c>
      <c r="B45" s="119" t="str">
        <f>Données!B45</f>
        <v>Chavannes-le-Veyron</v>
      </c>
      <c r="C45" s="249">
        <f>Données!C45</f>
        <v>160</v>
      </c>
      <c r="D45" s="250">
        <f>Données!D45</f>
        <v>77</v>
      </c>
      <c r="E45" s="251">
        <f>Données!E45</f>
        <v>1</v>
      </c>
      <c r="F45" s="252">
        <f>Données!F45</f>
        <v>284720.07</v>
      </c>
      <c r="G45" s="252">
        <f>Données!G45</f>
        <v>49030.68</v>
      </c>
      <c r="H45" s="252">
        <f>Données!H45</f>
        <v>1415.5</v>
      </c>
      <c r="I45" s="252">
        <f>Données!I45</f>
        <v>768.05</v>
      </c>
      <c r="J45" s="252">
        <f>Données!J45</f>
        <v>0</v>
      </c>
      <c r="K45" s="252">
        <f>Données!K45</f>
        <v>0</v>
      </c>
      <c r="L45" s="252">
        <f>Données!L45</f>
        <v>-140.56</v>
      </c>
      <c r="M45" s="252">
        <f>Données!M45</f>
        <v>0</v>
      </c>
      <c r="N45" s="252">
        <f>Données!N45</f>
        <v>203.29</v>
      </c>
      <c r="O45" s="252">
        <f>Données!O45</f>
        <v>29438.3</v>
      </c>
      <c r="P45" s="252">
        <f>Données!P45</f>
        <v>5218.5200000000004</v>
      </c>
      <c r="Q45" s="252">
        <f>Données!Q45</f>
        <v>0</v>
      </c>
      <c r="R45" s="252">
        <f>Données!R45</f>
        <v>0</v>
      </c>
      <c r="S45" s="244"/>
      <c r="T45" s="236">
        <f t="shared" si="2"/>
        <v>293729.80880380177</v>
      </c>
      <c r="U45" s="253">
        <f t="shared" si="0"/>
        <v>29438.3</v>
      </c>
      <c r="V45" s="253">
        <f t="shared" si="1"/>
        <v>5218.5200000000004</v>
      </c>
      <c r="W45" s="254">
        <f t="shared" si="3"/>
        <v>328386.62880380178</v>
      </c>
      <c r="X45" s="236">
        <f t="shared" si="4"/>
        <v>2052.4164300237612</v>
      </c>
      <c r="Y45" s="255">
        <f t="shared" si="5"/>
        <v>0.59271568855075696</v>
      </c>
    </row>
    <row r="46" spans="1:25" x14ac:dyDescent="0.25">
      <c r="A46" s="111">
        <f>Données!A46</f>
        <v>5476</v>
      </c>
      <c r="B46" s="119" t="str">
        <f>Données!B46</f>
        <v>Chevilly</v>
      </c>
      <c r="C46" s="249">
        <f>Données!C46</f>
        <v>345</v>
      </c>
      <c r="D46" s="250">
        <f>Données!D46</f>
        <v>70</v>
      </c>
      <c r="E46" s="251">
        <f>Données!E46</f>
        <v>1</v>
      </c>
      <c r="F46" s="252">
        <f>Données!F46</f>
        <v>617941.19999999995</v>
      </c>
      <c r="G46" s="252">
        <f>Données!G46</f>
        <v>95044.86</v>
      </c>
      <c r="H46" s="252">
        <f>Données!H46</f>
        <v>13878.15</v>
      </c>
      <c r="I46" s="252">
        <f>Données!I46</f>
        <v>1222.4000000000001</v>
      </c>
      <c r="J46" s="252">
        <f>Données!J46</f>
        <v>0</v>
      </c>
      <c r="K46" s="252">
        <f>Données!K46</f>
        <v>261.27999999999997</v>
      </c>
      <c r="L46" s="252">
        <f>Données!L46</f>
        <v>-1550.21</v>
      </c>
      <c r="M46" s="252">
        <f>Données!M46</f>
        <v>0</v>
      </c>
      <c r="N46" s="252">
        <f>Données!N46</f>
        <v>1405.84</v>
      </c>
      <c r="O46" s="252">
        <f>Données!O46</f>
        <v>66742.5</v>
      </c>
      <c r="P46" s="252">
        <f>Données!P46</f>
        <v>11141.53</v>
      </c>
      <c r="Q46" s="252">
        <f>Données!Q46</f>
        <v>0</v>
      </c>
      <c r="R46" s="252">
        <f>Données!R46</f>
        <v>-180.55</v>
      </c>
      <c r="S46" s="244"/>
      <c r="T46" s="236">
        <f t="shared" si="2"/>
        <v>700257.94207121723</v>
      </c>
      <c r="U46" s="253">
        <f t="shared" si="0"/>
        <v>66742.5</v>
      </c>
      <c r="V46" s="253">
        <f t="shared" si="1"/>
        <v>10960.980000000001</v>
      </c>
      <c r="W46" s="254">
        <f t="shared" si="3"/>
        <v>777961.42207121721</v>
      </c>
      <c r="X46" s="236">
        <f t="shared" si="4"/>
        <v>2254.9606436846875</v>
      </c>
      <c r="Y46" s="255">
        <f t="shared" si="5"/>
        <v>0.65120826895785189</v>
      </c>
    </row>
    <row r="47" spans="1:25" x14ac:dyDescent="0.25">
      <c r="A47" s="111">
        <f>Données!A47</f>
        <v>5477</v>
      </c>
      <c r="B47" s="119" t="str">
        <f>Données!B47</f>
        <v>Cossonay</v>
      </c>
      <c r="C47" s="249">
        <f>Données!C47</f>
        <v>4974</v>
      </c>
      <c r="D47" s="250">
        <f>Données!D47</f>
        <v>66</v>
      </c>
      <c r="E47" s="251">
        <f>Données!E47</f>
        <v>1</v>
      </c>
      <c r="F47" s="252">
        <f>Données!F47</f>
        <v>8532174.0999999996</v>
      </c>
      <c r="G47" s="252">
        <f>Données!G47</f>
        <v>1166867.8600000001</v>
      </c>
      <c r="H47" s="252">
        <f>Données!H47</f>
        <v>258979.4</v>
      </c>
      <c r="I47" s="252">
        <f>Données!I47</f>
        <v>8769.2999999999993</v>
      </c>
      <c r="J47" s="252">
        <f>Données!J47</f>
        <v>0</v>
      </c>
      <c r="K47" s="252">
        <f>Données!K47</f>
        <v>117087.57</v>
      </c>
      <c r="L47" s="252">
        <f>Données!L47</f>
        <v>-1365218.58</v>
      </c>
      <c r="M47" s="252">
        <f>Données!M47</f>
        <v>0</v>
      </c>
      <c r="N47" s="252">
        <f>Données!N47</f>
        <v>24927.03</v>
      </c>
      <c r="O47" s="252">
        <f>Données!O47</f>
        <v>947098.05</v>
      </c>
      <c r="P47" s="252">
        <f>Données!P47</f>
        <v>299310.48</v>
      </c>
      <c r="Q47" s="252">
        <f>Données!Q47</f>
        <v>55218</v>
      </c>
      <c r="R47" s="252">
        <f>Données!R47</f>
        <v>-2734.55</v>
      </c>
      <c r="S47" s="244"/>
      <c r="T47" s="236">
        <f t="shared" si="2"/>
        <v>8917620.6440629736</v>
      </c>
      <c r="U47" s="253">
        <f t="shared" si="0"/>
        <v>947098.05</v>
      </c>
      <c r="V47" s="253">
        <f t="shared" si="1"/>
        <v>351793.93</v>
      </c>
      <c r="W47" s="254">
        <f t="shared" si="3"/>
        <v>10216512.624062974</v>
      </c>
      <c r="X47" s="236">
        <f t="shared" si="4"/>
        <v>2053.9832376483664</v>
      </c>
      <c r="Y47" s="255">
        <f t="shared" si="5"/>
        <v>0.59316816566332509</v>
      </c>
    </row>
    <row r="48" spans="1:25" x14ac:dyDescent="0.25">
      <c r="A48" s="111">
        <f>Données!A48</f>
        <v>5479</v>
      </c>
      <c r="B48" s="119" t="str">
        <f>Données!B48</f>
        <v>Cuarnens</v>
      </c>
      <c r="C48" s="249">
        <f>Données!C48</f>
        <v>557</v>
      </c>
      <c r="D48" s="250">
        <f>Données!D48</f>
        <v>76</v>
      </c>
      <c r="E48" s="251">
        <f>Données!E48</f>
        <v>1</v>
      </c>
      <c r="F48" s="252">
        <f>Données!F48</f>
        <v>1267625.3400000001</v>
      </c>
      <c r="G48" s="252">
        <f>Données!G48</f>
        <v>244396.87</v>
      </c>
      <c r="H48" s="252">
        <f>Données!H48</f>
        <v>18375.099999999999</v>
      </c>
      <c r="I48" s="252">
        <f>Données!I48</f>
        <v>1563.8</v>
      </c>
      <c r="J48" s="252">
        <f>Données!J48</f>
        <v>0</v>
      </c>
      <c r="K48" s="252">
        <f>Données!K48</f>
        <v>11294.24</v>
      </c>
      <c r="L48" s="252">
        <f>Données!L48</f>
        <v>-84950.29</v>
      </c>
      <c r="M48" s="252">
        <f>Données!M48</f>
        <v>0</v>
      </c>
      <c r="N48" s="252">
        <f>Données!N48</f>
        <v>1856.28</v>
      </c>
      <c r="O48" s="252">
        <f>Données!O48</f>
        <v>102744.35</v>
      </c>
      <c r="P48" s="252">
        <f>Données!P48</f>
        <v>9646.08</v>
      </c>
      <c r="Q48" s="252">
        <f>Données!Q48</f>
        <v>1643</v>
      </c>
      <c r="R48" s="252">
        <f>Données!R48</f>
        <v>-1118.7</v>
      </c>
      <c r="S48" s="244"/>
      <c r="T48" s="236">
        <f t="shared" si="2"/>
        <v>1293274.0476906165</v>
      </c>
      <c r="U48" s="253">
        <f t="shared" si="0"/>
        <v>102744.35</v>
      </c>
      <c r="V48" s="253">
        <f t="shared" si="1"/>
        <v>10170.379999999999</v>
      </c>
      <c r="W48" s="254">
        <f t="shared" si="3"/>
        <v>1406188.7776906164</v>
      </c>
      <c r="X48" s="236">
        <f t="shared" si="4"/>
        <v>2524.5759024966183</v>
      </c>
      <c r="Y48" s="255">
        <f t="shared" si="5"/>
        <v>0.72907024249928076</v>
      </c>
    </row>
    <row r="49" spans="1:25" x14ac:dyDescent="0.25">
      <c r="A49" s="111">
        <f>Données!A49</f>
        <v>5480</v>
      </c>
      <c r="B49" s="119" t="str">
        <f>Données!B49</f>
        <v>Daillens</v>
      </c>
      <c r="C49" s="249">
        <f>Données!C49</f>
        <v>1113</v>
      </c>
      <c r="D49" s="250">
        <f>Données!D49</f>
        <v>66</v>
      </c>
      <c r="E49" s="251">
        <f>Données!E49</f>
        <v>1.2</v>
      </c>
      <c r="F49" s="252">
        <f>Données!F49</f>
        <v>2296710.77</v>
      </c>
      <c r="G49" s="252">
        <f>Données!G49</f>
        <v>328591.84999999998</v>
      </c>
      <c r="H49" s="252">
        <f>Données!H49</f>
        <v>98989.6</v>
      </c>
      <c r="I49" s="252">
        <f>Données!I49</f>
        <v>8447.1</v>
      </c>
      <c r="J49" s="252">
        <f>Données!J49</f>
        <v>0</v>
      </c>
      <c r="K49" s="252">
        <f>Données!K49</f>
        <v>1745.29</v>
      </c>
      <c r="L49" s="252">
        <f>Données!L49</f>
        <v>-12903.95</v>
      </c>
      <c r="M49" s="252">
        <f>Données!M49</f>
        <v>0</v>
      </c>
      <c r="N49" s="252">
        <f>Données!N49</f>
        <v>10002.209999999999</v>
      </c>
      <c r="O49" s="252">
        <f>Données!O49</f>
        <v>425937.05</v>
      </c>
      <c r="P49" s="252">
        <f>Données!P49</f>
        <v>59440.05</v>
      </c>
      <c r="Q49" s="252">
        <f>Données!Q49</f>
        <v>12472.7</v>
      </c>
      <c r="R49" s="252">
        <f>Données!R49</f>
        <v>-1229.05</v>
      </c>
      <c r="S49" s="244"/>
      <c r="T49" s="236">
        <f t="shared" si="2"/>
        <v>2785952.7999190362</v>
      </c>
      <c r="U49" s="253">
        <f t="shared" si="0"/>
        <v>354947.54166666669</v>
      </c>
      <c r="V49" s="253">
        <f t="shared" si="1"/>
        <v>70683.7</v>
      </c>
      <c r="W49" s="254">
        <f t="shared" si="3"/>
        <v>3211584.0415857029</v>
      </c>
      <c r="X49" s="236">
        <f t="shared" si="4"/>
        <v>2885.5202529970375</v>
      </c>
      <c r="Y49" s="255">
        <f t="shared" si="5"/>
        <v>0.83330707090592382</v>
      </c>
    </row>
    <row r="50" spans="1:25" x14ac:dyDescent="0.25">
      <c r="A50" s="111">
        <f>Données!A50</f>
        <v>5481</v>
      </c>
      <c r="B50" s="119" t="str">
        <f>Données!B50</f>
        <v>Dizy</v>
      </c>
      <c r="C50" s="249">
        <f>Données!C50</f>
        <v>239</v>
      </c>
      <c r="D50" s="250">
        <f>Données!D50</f>
        <v>75</v>
      </c>
      <c r="E50" s="251">
        <f>Données!E50</f>
        <v>1</v>
      </c>
      <c r="F50" s="252">
        <f>Données!F50</f>
        <v>477244.95</v>
      </c>
      <c r="G50" s="252">
        <f>Données!G50</f>
        <v>67127.16</v>
      </c>
      <c r="H50" s="252">
        <f>Données!H50</f>
        <v>44664</v>
      </c>
      <c r="I50" s="252">
        <f>Données!I50</f>
        <v>1124.55</v>
      </c>
      <c r="J50" s="252">
        <f>Données!J50</f>
        <v>0</v>
      </c>
      <c r="K50" s="252">
        <f>Données!K50</f>
        <v>0</v>
      </c>
      <c r="L50" s="252">
        <f>Données!L50</f>
        <v>-2585.0500000000002</v>
      </c>
      <c r="M50" s="252">
        <f>Données!M50</f>
        <v>0</v>
      </c>
      <c r="N50" s="252">
        <f>Données!N50</f>
        <v>4262.8500000000004</v>
      </c>
      <c r="O50" s="252">
        <f>Données!O50</f>
        <v>42720.1</v>
      </c>
      <c r="P50" s="252">
        <f>Données!P50</f>
        <v>8682.3799999999992</v>
      </c>
      <c r="Q50" s="252">
        <f>Données!Q50</f>
        <v>0</v>
      </c>
      <c r="R50" s="252">
        <f>Données!R50</f>
        <v>0</v>
      </c>
      <c r="S50" s="244"/>
      <c r="T50" s="236">
        <f t="shared" si="2"/>
        <v>531184.29936865065</v>
      </c>
      <c r="U50" s="253">
        <f t="shared" si="0"/>
        <v>42720.1</v>
      </c>
      <c r="V50" s="253">
        <f t="shared" si="1"/>
        <v>8682.3799999999992</v>
      </c>
      <c r="W50" s="254">
        <f t="shared" si="3"/>
        <v>582586.77936865063</v>
      </c>
      <c r="X50" s="236">
        <f t="shared" si="4"/>
        <v>2437.6015873165297</v>
      </c>
      <c r="Y50" s="255">
        <f t="shared" si="5"/>
        <v>0.70395300003616135</v>
      </c>
    </row>
    <row r="51" spans="1:25" x14ac:dyDescent="0.25">
      <c r="A51" s="111">
        <f>Données!A51</f>
        <v>5482</v>
      </c>
      <c r="B51" s="119" t="str">
        <f>Données!B51</f>
        <v>Eclépens</v>
      </c>
      <c r="C51" s="249">
        <f>Données!C51</f>
        <v>1202</v>
      </c>
      <c r="D51" s="250">
        <f>Données!D51</f>
        <v>46</v>
      </c>
      <c r="E51" s="251">
        <f>Données!E51</f>
        <v>1</v>
      </c>
      <c r="F51" s="252">
        <f>Données!F51</f>
        <v>1291231.5</v>
      </c>
      <c r="G51" s="252">
        <f>Données!G51</f>
        <v>179885.5</v>
      </c>
      <c r="H51" s="252">
        <f>Données!H51</f>
        <v>336754.5</v>
      </c>
      <c r="I51" s="252">
        <f>Données!I51</f>
        <v>23532.95</v>
      </c>
      <c r="J51" s="252">
        <f>Données!J51</f>
        <v>0</v>
      </c>
      <c r="K51" s="252">
        <f>Données!K51</f>
        <v>3580.53</v>
      </c>
      <c r="L51" s="252">
        <f>Données!L51</f>
        <v>-10634.84</v>
      </c>
      <c r="M51" s="252">
        <f>Données!M51</f>
        <v>0</v>
      </c>
      <c r="N51" s="252">
        <f>Données!N51</f>
        <v>33542.26</v>
      </c>
      <c r="O51" s="252">
        <f>Données!O51</f>
        <v>468329.8</v>
      </c>
      <c r="P51" s="252">
        <f>Données!P51</f>
        <v>69342.19</v>
      </c>
      <c r="Q51" s="252">
        <f>Données!Q51</f>
        <v>27380.799999999999</v>
      </c>
      <c r="R51" s="252">
        <f>Données!R51</f>
        <v>-146.65</v>
      </c>
      <c r="S51" s="244"/>
      <c r="T51" s="236">
        <f t="shared" si="2"/>
        <v>2718729.7262531063</v>
      </c>
      <c r="U51" s="253">
        <f t="shared" si="0"/>
        <v>468329.8</v>
      </c>
      <c r="V51" s="253">
        <f t="shared" si="1"/>
        <v>96576.340000000011</v>
      </c>
      <c r="W51" s="254">
        <f t="shared" si="3"/>
        <v>3283635.8662531059</v>
      </c>
      <c r="X51" s="236">
        <f t="shared" si="4"/>
        <v>2731.8102048694723</v>
      </c>
      <c r="Y51" s="255">
        <f t="shared" si="5"/>
        <v>0.78891726984978783</v>
      </c>
    </row>
    <row r="52" spans="1:25" x14ac:dyDescent="0.25">
      <c r="A52" s="111">
        <f>Données!A52</f>
        <v>5483</v>
      </c>
      <c r="B52" s="119" t="str">
        <f>Données!B52</f>
        <v>Ferreyres</v>
      </c>
      <c r="C52" s="249">
        <f>Données!C52</f>
        <v>308</v>
      </c>
      <c r="D52" s="250">
        <f>Données!D52</f>
        <v>76</v>
      </c>
      <c r="E52" s="251">
        <f>Données!E52</f>
        <v>1</v>
      </c>
      <c r="F52" s="252">
        <f>Données!F52</f>
        <v>626680.54</v>
      </c>
      <c r="G52" s="252">
        <f>Données!G52</f>
        <v>85421.53</v>
      </c>
      <c r="H52" s="252">
        <f>Données!H52</f>
        <v>-788.65</v>
      </c>
      <c r="I52" s="252">
        <f>Données!I52</f>
        <v>3092.05</v>
      </c>
      <c r="J52" s="252">
        <f>Données!J52</f>
        <v>0</v>
      </c>
      <c r="K52" s="252">
        <f>Données!K52</f>
        <v>0</v>
      </c>
      <c r="L52" s="252">
        <f>Données!L52</f>
        <v>-10315.370000000001</v>
      </c>
      <c r="M52" s="252">
        <f>Données!M52</f>
        <v>0</v>
      </c>
      <c r="N52" s="252">
        <f>Données!N52</f>
        <v>214.44</v>
      </c>
      <c r="O52" s="252">
        <f>Données!O52</f>
        <v>61049.3</v>
      </c>
      <c r="P52" s="252">
        <f>Données!P52</f>
        <v>3155.6</v>
      </c>
      <c r="Q52" s="252">
        <f>Données!Q52</f>
        <v>175.5</v>
      </c>
      <c r="R52" s="252">
        <f>Données!R52</f>
        <v>-1146.45</v>
      </c>
      <c r="S52" s="244"/>
      <c r="T52" s="236">
        <f t="shared" si="2"/>
        <v>623806.94400022784</v>
      </c>
      <c r="U52" s="253">
        <f t="shared" si="0"/>
        <v>61049.3</v>
      </c>
      <c r="V52" s="253">
        <f t="shared" si="1"/>
        <v>2184.6499999999996</v>
      </c>
      <c r="W52" s="254">
        <f t="shared" si="3"/>
        <v>687040.89400022791</v>
      </c>
      <c r="X52" s="236">
        <f t="shared" si="4"/>
        <v>2230.6522532474933</v>
      </c>
      <c r="Y52" s="255">
        <f t="shared" si="5"/>
        <v>0.64418826845270327</v>
      </c>
    </row>
    <row r="53" spans="1:25" x14ac:dyDescent="0.25">
      <c r="A53" s="111">
        <f>Données!A53</f>
        <v>5484</v>
      </c>
      <c r="B53" s="119" t="str">
        <f>Données!B53</f>
        <v>Gollion</v>
      </c>
      <c r="C53" s="249">
        <f>Données!C53</f>
        <v>1091</v>
      </c>
      <c r="D53" s="250">
        <f>Données!D53</f>
        <v>74</v>
      </c>
      <c r="E53" s="251">
        <f>Données!E53</f>
        <v>1</v>
      </c>
      <c r="F53" s="252">
        <f>Données!F53</f>
        <v>1909773.21</v>
      </c>
      <c r="G53" s="252">
        <f>Données!G53</f>
        <v>280392.2</v>
      </c>
      <c r="H53" s="252">
        <f>Données!H53</f>
        <v>49253.35</v>
      </c>
      <c r="I53" s="252">
        <f>Données!I53</f>
        <v>2127.35</v>
      </c>
      <c r="J53" s="252">
        <f>Données!J53</f>
        <v>0</v>
      </c>
      <c r="K53" s="252">
        <f>Données!K53</f>
        <v>3400.12</v>
      </c>
      <c r="L53" s="252">
        <f>Données!L53</f>
        <v>-18132.189999999999</v>
      </c>
      <c r="M53" s="252">
        <f>Données!M53</f>
        <v>0</v>
      </c>
      <c r="N53" s="252">
        <f>Données!N53</f>
        <v>4783.47</v>
      </c>
      <c r="O53" s="252">
        <f>Données!O53</f>
        <v>218990.9</v>
      </c>
      <c r="P53" s="252">
        <f>Données!P53</f>
        <v>30234.560000000001</v>
      </c>
      <c r="Q53" s="252">
        <f>Données!Q53</f>
        <v>5372.65</v>
      </c>
      <c r="R53" s="252">
        <f>Données!R53</f>
        <v>-555.9</v>
      </c>
      <c r="S53" s="244"/>
      <c r="T53" s="236">
        <f t="shared" si="2"/>
        <v>2029959.8942211538</v>
      </c>
      <c r="U53" s="253">
        <f t="shared" si="0"/>
        <v>218990.9</v>
      </c>
      <c r="V53" s="253">
        <f t="shared" si="1"/>
        <v>35051.31</v>
      </c>
      <c r="W53" s="254">
        <f t="shared" si="3"/>
        <v>2284002.104221154</v>
      </c>
      <c r="X53" s="236">
        <f t="shared" si="4"/>
        <v>2093.4941376912502</v>
      </c>
      <c r="Y53" s="255">
        <f t="shared" si="5"/>
        <v>0.6045784866788837</v>
      </c>
    </row>
    <row r="54" spans="1:25" x14ac:dyDescent="0.25">
      <c r="A54" s="111">
        <f>Données!A54</f>
        <v>5485</v>
      </c>
      <c r="B54" s="119" t="str">
        <f>Données!B54</f>
        <v>Grancy</v>
      </c>
      <c r="C54" s="249">
        <f>Données!C54</f>
        <v>541</v>
      </c>
      <c r="D54" s="250">
        <f>Données!D54</f>
        <v>70</v>
      </c>
      <c r="E54" s="251">
        <f>Données!E54</f>
        <v>1</v>
      </c>
      <c r="F54" s="252">
        <f>Données!F54</f>
        <v>1395103.42</v>
      </c>
      <c r="G54" s="252">
        <f>Données!G54</f>
        <v>204458.68</v>
      </c>
      <c r="H54" s="252">
        <f>Données!H54</f>
        <v>-13404.65</v>
      </c>
      <c r="I54" s="252">
        <f>Données!I54</f>
        <v>6737.2</v>
      </c>
      <c r="J54" s="252">
        <f>Données!J54</f>
        <v>0</v>
      </c>
      <c r="K54" s="252">
        <f>Données!K54</f>
        <v>2325.12</v>
      </c>
      <c r="L54" s="252">
        <f>Données!L54</f>
        <v>-24266.74</v>
      </c>
      <c r="M54" s="252">
        <f>Données!M54</f>
        <v>0</v>
      </c>
      <c r="N54" s="252">
        <f>Données!N54</f>
        <v>-620.73</v>
      </c>
      <c r="O54" s="252">
        <f>Données!O54</f>
        <v>109544.85</v>
      </c>
      <c r="P54" s="252">
        <f>Données!P54</f>
        <v>23226.400000000001</v>
      </c>
      <c r="Q54" s="252">
        <f>Données!Q54</f>
        <v>2344.25</v>
      </c>
      <c r="R54" s="252">
        <f>Données!R54</f>
        <v>-1864.2</v>
      </c>
      <c r="S54" s="244"/>
      <c r="T54" s="236">
        <f t="shared" si="2"/>
        <v>1510069.1421622918</v>
      </c>
      <c r="U54" s="253">
        <f t="shared" si="0"/>
        <v>109544.85</v>
      </c>
      <c r="V54" s="253">
        <f t="shared" si="1"/>
        <v>23706.45</v>
      </c>
      <c r="W54" s="254">
        <f t="shared" si="3"/>
        <v>1643320.4421622918</v>
      </c>
      <c r="X54" s="236">
        <f t="shared" si="4"/>
        <v>3037.5608912426837</v>
      </c>
      <c r="Y54" s="255">
        <f t="shared" si="5"/>
        <v>0.87721476442620105</v>
      </c>
    </row>
    <row r="55" spans="1:25" x14ac:dyDescent="0.25">
      <c r="A55" s="111">
        <f>Données!A55</f>
        <v>5486</v>
      </c>
      <c r="B55" s="119" t="str">
        <f>Données!B55</f>
        <v>L'Isle</v>
      </c>
      <c r="C55" s="249">
        <f>Données!C55</f>
        <v>1106</v>
      </c>
      <c r="D55" s="250">
        <f>Données!D55</f>
        <v>75</v>
      </c>
      <c r="E55" s="251">
        <f>Données!E55</f>
        <v>1</v>
      </c>
      <c r="F55" s="252">
        <f>Données!F55</f>
        <v>2062250.37</v>
      </c>
      <c r="G55" s="252">
        <f>Données!G55</f>
        <v>319890.67</v>
      </c>
      <c r="H55" s="252">
        <f>Données!H55</f>
        <v>73145.649999999994</v>
      </c>
      <c r="I55" s="252">
        <f>Données!I55</f>
        <v>9941.4500000000007</v>
      </c>
      <c r="J55" s="252">
        <f>Données!J55</f>
        <v>0</v>
      </c>
      <c r="K55" s="252">
        <f>Données!K55</f>
        <v>5558.84</v>
      </c>
      <c r="L55" s="252">
        <f>Données!L55</f>
        <v>-26988.67</v>
      </c>
      <c r="M55" s="252">
        <f>Données!M55</f>
        <v>0</v>
      </c>
      <c r="N55" s="252">
        <f>Données!N55</f>
        <v>7735.29</v>
      </c>
      <c r="O55" s="252">
        <f>Données!O55</f>
        <v>216489.5</v>
      </c>
      <c r="P55" s="252">
        <f>Données!P55</f>
        <v>52691.12</v>
      </c>
      <c r="Q55" s="252">
        <f>Données!Q55</f>
        <v>13408.65</v>
      </c>
      <c r="R55" s="252">
        <f>Données!R55</f>
        <v>-214.15</v>
      </c>
      <c r="S55" s="244"/>
      <c r="T55" s="236">
        <f t="shared" si="2"/>
        <v>2200289.8522253959</v>
      </c>
      <c r="U55" s="253">
        <f t="shared" si="0"/>
        <v>216489.5</v>
      </c>
      <c r="V55" s="253">
        <f t="shared" si="1"/>
        <v>65885.62000000001</v>
      </c>
      <c r="W55" s="254">
        <f t="shared" si="3"/>
        <v>2482664.972225396</v>
      </c>
      <c r="X55" s="236">
        <f t="shared" si="4"/>
        <v>2244.7242063520757</v>
      </c>
      <c r="Y55" s="255">
        <f t="shared" si="5"/>
        <v>0.64825209646130089</v>
      </c>
    </row>
    <row r="56" spans="1:25" x14ac:dyDescent="0.25">
      <c r="A56" s="111">
        <f>Données!A56</f>
        <v>5487</v>
      </c>
      <c r="B56" s="119" t="str">
        <f>Données!B56</f>
        <v>Lussery-Villars</v>
      </c>
      <c r="C56" s="249">
        <f>Données!C56</f>
        <v>469</v>
      </c>
      <c r="D56" s="250">
        <f>Données!D56</f>
        <v>75</v>
      </c>
      <c r="E56" s="251">
        <f>Données!E56</f>
        <v>1</v>
      </c>
      <c r="F56" s="252">
        <f>Données!F56</f>
        <v>939471.16</v>
      </c>
      <c r="G56" s="252">
        <f>Données!G56</f>
        <v>168362.26</v>
      </c>
      <c r="H56" s="252">
        <f>Données!H56</f>
        <v>8545.7999999999993</v>
      </c>
      <c r="I56" s="252">
        <f>Données!I56</f>
        <v>1043.05</v>
      </c>
      <c r="J56" s="252">
        <f>Données!J56</f>
        <v>0</v>
      </c>
      <c r="K56" s="252">
        <f>Données!K56</f>
        <v>0</v>
      </c>
      <c r="L56" s="252">
        <f>Données!L56</f>
        <v>-10289.620000000001</v>
      </c>
      <c r="M56" s="252">
        <f>Données!M56</f>
        <v>0</v>
      </c>
      <c r="N56" s="252">
        <f>Données!N56</f>
        <v>892.71</v>
      </c>
      <c r="O56" s="252">
        <f>Données!O56</f>
        <v>84284.15</v>
      </c>
      <c r="P56" s="252">
        <f>Données!P56</f>
        <v>17574.64</v>
      </c>
      <c r="Q56" s="252">
        <f>Données!Q56</f>
        <v>1070</v>
      </c>
      <c r="R56" s="252">
        <f>Données!R56</f>
        <v>0</v>
      </c>
      <c r="S56" s="244"/>
      <c r="T56" s="236">
        <f t="shared" si="2"/>
        <v>994470.13723017729</v>
      </c>
      <c r="U56" s="253">
        <f t="shared" si="0"/>
        <v>84284.15</v>
      </c>
      <c r="V56" s="253">
        <f t="shared" si="1"/>
        <v>18644.64</v>
      </c>
      <c r="W56" s="254">
        <f t="shared" si="3"/>
        <v>1097398.9272301772</v>
      </c>
      <c r="X56" s="236">
        <f t="shared" si="4"/>
        <v>2339.8697808745783</v>
      </c>
      <c r="Y56" s="255">
        <f t="shared" si="5"/>
        <v>0.67572911033173144</v>
      </c>
    </row>
    <row r="57" spans="1:25" x14ac:dyDescent="0.25">
      <c r="A57" s="111">
        <f>Données!A57</f>
        <v>5488</v>
      </c>
      <c r="B57" s="119" t="str">
        <f>Données!B57</f>
        <v>Mauraz</v>
      </c>
      <c r="C57" s="249">
        <f>Données!C57</f>
        <v>74</v>
      </c>
      <c r="D57" s="250">
        <f>Données!D57</f>
        <v>75</v>
      </c>
      <c r="E57" s="251">
        <f>Données!E57</f>
        <v>1</v>
      </c>
      <c r="F57" s="252">
        <f>Données!F57</f>
        <v>125476.74</v>
      </c>
      <c r="G57" s="252">
        <f>Données!G57</f>
        <v>15119.25</v>
      </c>
      <c r="H57" s="252">
        <f>Données!H57</f>
        <v>27.25</v>
      </c>
      <c r="I57" s="252">
        <f>Données!I57</f>
        <v>993.25</v>
      </c>
      <c r="J57" s="252">
        <f>Données!J57</f>
        <v>0</v>
      </c>
      <c r="K57" s="252">
        <f>Données!K57</f>
        <v>0</v>
      </c>
      <c r="L57" s="252">
        <f>Données!L57</f>
        <v>-6.43</v>
      </c>
      <c r="M57" s="252">
        <f>Données!M57</f>
        <v>0</v>
      </c>
      <c r="N57" s="252">
        <f>Données!N57</f>
        <v>95.01</v>
      </c>
      <c r="O57" s="252">
        <f>Données!O57</f>
        <v>12105</v>
      </c>
      <c r="P57" s="252">
        <f>Données!P57</f>
        <v>2761.42</v>
      </c>
      <c r="Q57" s="252">
        <f>Données!Q57</f>
        <v>0</v>
      </c>
      <c r="R57" s="252">
        <f>Données!R57</f>
        <v>0</v>
      </c>
      <c r="S57" s="244"/>
      <c r="T57" s="236">
        <f t="shared" si="2"/>
        <v>127182.52261763386</v>
      </c>
      <c r="U57" s="253">
        <f t="shared" si="0"/>
        <v>12105</v>
      </c>
      <c r="V57" s="253">
        <f t="shared" si="1"/>
        <v>2761.42</v>
      </c>
      <c r="W57" s="254">
        <f t="shared" si="3"/>
        <v>142048.94261763387</v>
      </c>
      <c r="X57" s="236">
        <f t="shared" si="4"/>
        <v>1919.580305643701</v>
      </c>
      <c r="Y57" s="255">
        <f t="shared" si="5"/>
        <v>0.55435405112933467</v>
      </c>
    </row>
    <row r="58" spans="1:25" x14ac:dyDescent="0.25">
      <c r="A58" s="111">
        <f>Données!A58</f>
        <v>5489</v>
      </c>
      <c r="B58" s="119" t="str">
        <f>Données!B58</f>
        <v>Mex</v>
      </c>
      <c r="C58" s="249">
        <f>Données!C58</f>
        <v>828</v>
      </c>
      <c r="D58" s="250">
        <f>Données!D58</f>
        <v>59.5</v>
      </c>
      <c r="E58" s="251">
        <f>Données!E58</f>
        <v>1</v>
      </c>
      <c r="F58" s="252">
        <f>Données!F58</f>
        <v>2495715.33</v>
      </c>
      <c r="G58" s="252">
        <f>Données!G58</f>
        <v>688672.77</v>
      </c>
      <c r="H58" s="252">
        <f>Données!H58</f>
        <v>1394118.35</v>
      </c>
      <c r="I58" s="252">
        <f>Données!I58</f>
        <v>18538.5</v>
      </c>
      <c r="J58" s="252">
        <f>Données!J58</f>
        <v>0</v>
      </c>
      <c r="K58" s="252">
        <f>Données!K58</f>
        <v>3112.47</v>
      </c>
      <c r="L58" s="252">
        <f>Données!L58</f>
        <v>-93928.21</v>
      </c>
      <c r="M58" s="252">
        <f>Données!M58</f>
        <v>0</v>
      </c>
      <c r="N58" s="252">
        <f>Données!N58</f>
        <v>129528.27</v>
      </c>
      <c r="O58" s="252">
        <f>Données!O58</f>
        <v>312468.90000000002</v>
      </c>
      <c r="P58" s="252">
        <f>Données!P58</f>
        <v>111783.06</v>
      </c>
      <c r="Q58" s="252">
        <f>Données!Q58</f>
        <v>9592.5</v>
      </c>
      <c r="R58" s="252">
        <f>Données!R58</f>
        <v>-22131.63</v>
      </c>
      <c r="S58" s="244"/>
      <c r="T58" s="236">
        <f t="shared" si="2"/>
        <v>5244535.7630176721</v>
      </c>
      <c r="U58" s="253">
        <f t="shared" si="0"/>
        <v>312468.90000000002</v>
      </c>
      <c r="V58" s="253">
        <f t="shared" si="1"/>
        <v>99243.93</v>
      </c>
      <c r="W58" s="254">
        <f t="shared" si="3"/>
        <v>5656248.5930176722</v>
      </c>
      <c r="X58" s="236">
        <f t="shared" si="4"/>
        <v>6831.2181075092658</v>
      </c>
      <c r="Y58" s="255">
        <f t="shared" si="5"/>
        <v>1.9727819778688274</v>
      </c>
    </row>
    <row r="59" spans="1:25" x14ac:dyDescent="0.25">
      <c r="A59" s="111">
        <f>Données!A59</f>
        <v>5490</v>
      </c>
      <c r="B59" s="119" t="str">
        <f>Données!B59</f>
        <v>Moiry</v>
      </c>
      <c r="C59" s="249">
        <f>Données!C59</f>
        <v>295</v>
      </c>
      <c r="D59" s="250">
        <f>Données!D59</f>
        <v>76</v>
      </c>
      <c r="E59" s="251">
        <f>Données!E59</f>
        <v>1</v>
      </c>
      <c r="F59" s="252">
        <f>Données!F59</f>
        <v>484786.49</v>
      </c>
      <c r="G59" s="252">
        <f>Données!G59</f>
        <v>85487.59</v>
      </c>
      <c r="H59" s="252">
        <f>Données!H59</f>
        <v>7278.5</v>
      </c>
      <c r="I59" s="252">
        <f>Données!I59</f>
        <v>1033.8499999999999</v>
      </c>
      <c r="J59" s="252">
        <f>Données!J59</f>
        <v>0</v>
      </c>
      <c r="K59" s="252">
        <f>Données!K59</f>
        <v>8307.6200000000008</v>
      </c>
      <c r="L59" s="252">
        <f>Données!L59</f>
        <v>-26655.91</v>
      </c>
      <c r="M59" s="252">
        <f>Données!M59</f>
        <v>0</v>
      </c>
      <c r="N59" s="252">
        <f>Données!N59</f>
        <v>773.87</v>
      </c>
      <c r="O59" s="252">
        <f>Données!O59</f>
        <v>50467.4</v>
      </c>
      <c r="P59" s="252">
        <f>Données!P59</f>
        <v>8090.01</v>
      </c>
      <c r="Q59" s="252">
        <f>Données!Q59</f>
        <v>0</v>
      </c>
      <c r="R59" s="252">
        <f>Données!R59</f>
        <v>-283.2</v>
      </c>
      <c r="S59" s="244"/>
      <c r="T59" s="236">
        <f t="shared" si="2"/>
        <v>496891.85235910193</v>
      </c>
      <c r="U59" s="253">
        <f t="shared" si="0"/>
        <v>50467.4</v>
      </c>
      <c r="V59" s="253">
        <f t="shared" si="1"/>
        <v>7806.81</v>
      </c>
      <c r="W59" s="254">
        <f t="shared" si="3"/>
        <v>555166.06235910195</v>
      </c>
      <c r="X59" s="236">
        <f t="shared" si="4"/>
        <v>1881.9188554545829</v>
      </c>
      <c r="Y59" s="255">
        <f t="shared" si="5"/>
        <v>0.54347783124816529</v>
      </c>
    </row>
    <row r="60" spans="1:25" x14ac:dyDescent="0.25">
      <c r="A60" s="111">
        <f>Données!A60</f>
        <v>5491</v>
      </c>
      <c r="B60" s="119" t="str">
        <f>Données!B60</f>
        <v>Mont-la-Ville</v>
      </c>
      <c r="C60" s="249">
        <f>Données!C60</f>
        <v>504</v>
      </c>
      <c r="D60" s="250">
        <f>Données!D60</f>
        <v>76</v>
      </c>
      <c r="E60" s="251">
        <f>Données!E60</f>
        <v>1</v>
      </c>
      <c r="F60" s="252">
        <f>Données!F60</f>
        <v>634052.24</v>
      </c>
      <c r="G60" s="252">
        <f>Données!G60</f>
        <v>118564.32</v>
      </c>
      <c r="H60" s="252">
        <f>Données!H60</f>
        <v>-7329.5</v>
      </c>
      <c r="I60" s="252">
        <f>Données!I60</f>
        <v>3830.2</v>
      </c>
      <c r="J60" s="252">
        <f>Données!J60</f>
        <v>0</v>
      </c>
      <c r="K60" s="252">
        <f>Données!K60</f>
        <v>2296.69</v>
      </c>
      <c r="L60" s="252">
        <f>Données!L60</f>
        <v>-42954.87</v>
      </c>
      <c r="M60" s="252">
        <f>Données!M60</f>
        <v>0</v>
      </c>
      <c r="N60" s="252">
        <f>Données!N60</f>
        <v>-325.77999999999997</v>
      </c>
      <c r="O60" s="252">
        <f>Données!O60</f>
        <v>97397.4</v>
      </c>
      <c r="P60" s="252">
        <f>Données!P60</f>
        <v>14504.67</v>
      </c>
      <c r="Q60" s="252">
        <f>Données!Q60</f>
        <v>682.5</v>
      </c>
      <c r="R60" s="252">
        <f>Données!R60</f>
        <v>0</v>
      </c>
      <c r="S60" s="244"/>
      <c r="T60" s="236">
        <f t="shared" si="2"/>
        <v>627198.10072187881</v>
      </c>
      <c r="U60" s="253">
        <f t="shared" si="0"/>
        <v>97397.4</v>
      </c>
      <c r="V60" s="253">
        <f t="shared" si="1"/>
        <v>15187.17</v>
      </c>
      <c r="W60" s="254">
        <f t="shared" si="3"/>
        <v>739782.67072187888</v>
      </c>
      <c r="X60" s="236">
        <f t="shared" si="4"/>
        <v>1467.8227593688073</v>
      </c>
      <c r="Y60" s="255">
        <f t="shared" si="5"/>
        <v>0.4238913530231691</v>
      </c>
    </row>
    <row r="61" spans="1:25" x14ac:dyDescent="0.25">
      <c r="A61" s="111">
        <f>Données!A61</f>
        <v>5492</v>
      </c>
      <c r="B61" s="119" t="str">
        <f>Données!B61</f>
        <v>Montricher</v>
      </c>
      <c r="C61" s="249">
        <f>Données!C61</f>
        <v>947</v>
      </c>
      <c r="D61" s="250">
        <f>Données!D61</f>
        <v>64</v>
      </c>
      <c r="E61" s="251">
        <f>Données!E61</f>
        <v>0.3</v>
      </c>
      <c r="F61" s="252">
        <f>Données!F61</f>
        <v>7167480.5999999996</v>
      </c>
      <c r="G61" s="252">
        <f>Données!G61</f>
        <v>4450338.92</v>
      </c>
      <c r="H61" s="252">
        <f>Données!H61</f>
        <v>5724</v>
      </c>
      <c r="I61" s="252">
        <f>Données!I61</f>
        <v>3406.65</v>
      </c>
      <c r="J61" s="252">
        <f>Données!J61</f>
        <v>0</v>
      </c>
      <c r="K61" s="252">
        <f>Données!K61</f>
        <v>2205.7600000000002</v>
      </c>
      <c r="L61" s="252">
        <f>Données!L61</f>
        <v>-45740.84</v>
      </c>
      <c r="M61" s="252">
        <f>Données!M61</f>
        <v>0</v>
      </c>
      <c r="N61" s="252">
        <f>Données!N61</f>
        <v>850.05</v>
      </c>
      <c r="O61" s="252">
        <f>Données!O61</f>
        <v>77200.7</v>
      </c>
      <c r="P61" s="252">
        <f>Données!P61</f>
        <v>36524.78</v>
      </c>
      <c r="Q61" s="252">
        <f>Données!Q61</f>
        <v>5974.3</v>
      </c>
      <c r="R61" s="252">
        <f>Données!R61</f>
        <v>-7252.1</v>
      </c>
      <c r="S61" s="244"/>
      <c r="T61" s="236">
        <f t="shared" si="2"/>
        <v>12184054.258151921</v>
      </c>
      <c r="U61" s="253">
        <f t="shared" si="0"/>
        <v>257335.66666666666</v>
      </c>
      <c r="V61" s="253">
        <f t="shared" si="1"/>
        <v>35246.980000000003</v>
      </c>
      <c r="W61" s="254">
        <f t="shared" si="3"/>
        <v>12476636.904818587</v>
      </c>
      <c r="X61" s="236">
        <f t="shared" si="4"/>
        <v>13174.906974465244</v>
      </c>
      <c r="Y61" s="255">
        <f t="shared" si="5"/>
        <v>3.8047707788384502</v>
      </c>
    </row>
    <row r="62" spans="1:25" x14ac:dyDescent="0.25">
      <c r="A62" s="111">
        <f>Données!A62</f>
        <v>5493</v>
      </c>
      <c r="B62" s="119" t="str">
        <f>Données!B62</f>
        <v>Orny</v>
      </c>
      <c r="C62" s="249">
        <f>Données!C62</f>
        <v>525</v>
      </c>
      <c r="D62" s="250">
        <f>Données!D62</f>
        <v>73</v>
      </c>
      <c r="E62" s="251">
        <f>Données!E62</f>
        <v>0.65</v>
      </c>
      <c r="F62" s="252">
        <f>Données!F62</f>
        <v>999621.77</v>
      </c>
      <c r="G62" s="252">
        <f>Données!G62</f>
        <v>93466.89</v>
      </c>
      <c r="H62" s="252">
        <f>Données!H62</f>
        <v>20620.900000000001</v>
      </c>
      <c r="I62" s="252">
        <f>Données!I62</f>
        <v>3441.1</v>
      </c>
      <c r="J62" s="252">
        <f>Données!J62</f>
        <v>0</v>
      </c>
      <c r="K62" s="252">
        <f>Données!K62</f>
        <v>0</v>
      </c>
      <c r="L62" s="252">
        <f>Données!L62</f>
        <v>-11469.11</v>
      </c>
      <c r="M62" s="252">
        <f>Données!M62</f>
        <v>0</v>
      </c>
      <c r="N62" s="252">
        <f>Données!N62</f>
        <v>2240.14</v>
      </c>
      <c r="O62" s="252">
        <f>Données!O62</f>
        <v>57982.05</v>
      </c>
      <c r="P62" s="252">
        <f>Données!P62</f>
        <v>9926.52</v>
      </c>
      <c r="Q62" s="252">
        <f>Données!Q62</f>
        <v>5460.15</v>
      </c>
      <c r="R62" s="252">
        <f>Données!R62</f>
        <v>-962.55</v>
      </c>
      <c r="S62" s="244"/>
      <c r="T62" s="236">
        <f t="shared" si="2"/>
        <v>1021620.2997733256</v>
      </c>
      <c r="U62" s="253">
        <f t="shared" si="0"/>
        <v>89203.153846153844</v>
      </c>
      <c r="V62" s="253">
        <f t="shared" si="1"/>
        <v>14424.12</v>
      </c>
      <c r="W62" s="254">
        <f t="shared" si="3"/>
        <v>1125247.5736194795</v>
      </c>
      <c r="X62" s="236">
        <f t="shared" si="4"/>
        <v>2143.3287116561514</v>
      </c>
      <c r="Y62" s="255">
        <f t="shared" si="5"/>
        <v>0.61897017317541891</v>
      </c>
    </row>
    <row r="63" spans="1:25" x14ac:dyDescent="0.25">
      <c r="A63" s="111">
        <f>Données!A63</f>
        <v>5495</v>
      </c>
      <c r="B63" s="119" t="str">
        <f>Données!B63</f>
        <v>Penthalaz</v>
      </c>
      <c r="C63" s="249">
        <f>Données!C63</f>
        <v>3199</v>
      </c>
      <c r="D63" s="250">
        <f>Données!D63</f>
        <v>72.5</v>
      </c>
      <c r="E63" s="251">
        <f>Données!E63</f>
        <v>1</v>
      </c>
      <c r="F63" s="252">
        <f>Données!F63</f>
        <v>5042277.93</v>
      </c>
      <c r="G63" s="252">
        <f>Données!G63</f>
        <v>654204.42000000004</v>
      </c>
      <c r="H63" s="252">
        <f>Données!H63</f>
        <v>180698.55</v>
      </c>
      <c r="I63" s="252">
        <f>Données!I63</f>
        <v>16892.25</v>
      </c>
      <c r="J63" s="252">
        <f>Données!J63</f>
        <v>83902.48</v>
      </c>
      <c r="K63" s="252">
        <f>Données!K63</f>
        <v>32969.800000000003</v>
      </c>
      <c r="L63" s="252">
        <f>Données!L63</f>
        <v>-138208.93</v>
      </c>
      <c r="M63" s="252">
        <f>Données!M63</f>
        <v>0</v>
      </c>
      <c r="N63" s="252">
        <f>Données!N63</f>
        <v>18395.43</v>
      </c>
      <c r="O63" s="252">
        <f>Données!O63</f>
        <v>555131.4</v>
      </c>
      <c r="P63" s="252">
        <f>Données!P63</f>
        <v>248255.6</v>
      </c>
      <c r="Q63" s="252">
        <f>Données!Q63</f>
        <v>102178.15</v>
      </c>
      <c r="R63" s="252">
        <f>Données!R63</f>
        <v>-356.75</v>
      </c>
      <c r="S63" s="244"/>
      <c r="T63" s="236">
        <f t="shared" si="2"/>
        <v>5469706.8568665059</v>
      </c>
      <c r="U63" s="253">
        <f t="shared" si="0"/>
        <v>555131.4</v>
      </c>
      <c r="V63" s="253">
        <f t="shared" si="1"/>
        <v>350077</v>
      </c>
      <c r="W63" s="254">
        <f t="shared" si="3"/>
        <v>6374915.2568665063</v>
      </c>
      <c r="X63" s="236">
        <f t="shared" si="4"/>
        <v>1992.7837626966259</v>
      </c>
      <c r="Y63" s="255">
        <f t="shared" si="5"/>
        <v>0.57549441855999195</v>
      </c>
    </row>
    <row r="64" spans="1:25" x14ac:dyDescent="0.25">
      <c r="A64" s="111">
        <f>Données!A64</f>
        <v>5496</v>
      </c>
      <c r="B64" s="119" t="str">
        <f>Données!B64</f>
        <v>Penthaz</v>
      </c>
      <c r="C64" s="249">
        <f>Données!C64</f>
        <v>1910</v>
      </c>
      <c r="D64" s="250">
        <f>Données!D64</f>
        <v>69.5</v>
      </c>
      <c r="E64" s="251">
        <f>Données!E64</f>
        <v>1</v>
      </c>
      <c r="F64" s="252">
        <f>Données!F64</f>
        <v>3428722.11</v>
      </c>
      <c r="G64" s="252">
        <f>Données!G64</f>
        <v>390512.72</v>
      </c>
      <c r="H64" s="252">
        <f>Données!H64</f>
        <v>103779.79</v>
      </c>
      <c r="I64" s="252">
        <f>Données!I64</f>
        <v>17351.900000000001</v>
      </c>
      <c r="J64" s="252">
        <f>Données!J64</f>
        <v>0</v>
      </c>
      <c r="K64" s="252">
        <f>Données!K64</f>
        <v>12459.75</v>
      </c>
      <c r="L64" s="252">
        <f>Données!L64</f>
        <v>-100269.89</v>
      </c>
      <c r="M64" s="252">
        <f>Données!M64</f>
        <v>0</v>
      </c>
      <c r="N64" s="252">
        <f>Données!N64</f>
        <v>11277.19</v>
      </c>
      <c r="O64" s="252">
        <f>Données!O64</f>
        <v>397012.55</v>
      </c>
      <c r="P64" s="252">
        <f>Données!P64</f>
        <v>128509.58</v>
      </c>
      <c r="Q64" s="252">
        <f>Données!Q64</f>
        <v>28304.1</v>
      </c>
      <c r="R64" s="252">
        <f>Données!R64</f>
        <v>-618.20000000000005</v>
      </c>
      <c r="S64" s="244"/>
      <c r="T64" s="236">
        <f t="shared" si="2"/>
        <v>3742285.4932265985</v>
      </c>
      <c r="U64" s="253">
        <f t="shared" si="0"/>
        <v>397012.55</v>
      </c>
      <c r="V64" s="253">
        <f t="shared" si="1"/>
        <v>156195.47999999998</v>
      </c>
      <c r="W64" s="254">
        <f t="shared" si="3"/>
        <v>4295493.5232265983</v>
      </c>
      <c r="X64" s="236">
        <f t="shared" si="4"/>
        <v>2248.9494886003131</v>
      </c>
      <c r="Y64" s="255">
        <f t="shared" si="5"/>
        <v>0.64947231232025127</v>
      </c>
    </row>
    <row r="65" spans="1:25" x14ac:dyDescent="0.25">
      <c r="A65" s="111">
        <f>Données!A65</f>
        <v>5497</v>
      </c>
      <c r="B65" s="119" t="str">
        <f>Données!B65</f>
        <v>Pompaples</v>
      </c>
      <c r="C65" s="249">
        <f>Données!C65</f>
        <v>917</v>
      </c>
      <c r="D65" s="250">
        <f>Données!D65</f>
        <v>66</v>
      </c>
      <c r="E65" s="251">
        <f>Données!E65</f>
        <v>1</v>
      </c>
      <c r="F65" s="252">
        <f>Données!F65</f>
        <v>1306202.24</v>
      </c>
      <c r="G65" s="252">
        <f>Données!G65</f>
        <v>131462.10999999999</v>
      </c>
      <c r="H65" s="252">
        <f>Données!H65</f>
        <v>14309.2</v>
      </c>
      <c r="I65" s="252">
        <f>Données!I65</f>
        <v>2823.25</v>
      </c>
      <c r="J65" s="252">
        <f>Données!J65</f>
        <v>0</v>
      </c>
      <c r="K65" s="252">
        <f>Données!K65</f>
        <v>1881.04</v>
      </c>
      <c r="L65" s="252">
        <f>Données!L65</f>
        <v>-46692.77</v>
      </c>
      <c r="M65" s="252">
        <f>Données!M65</f>
        <v>0</v>
      </c>
      <c r="N65" s="252">
        <f>Données!N65</f>
        <v>1595.01</v>
      </c>
      <c r="O65" s="252">
        <f>Données!O65</f>
        <v>144794.15</v>
      </c>
      <c r="P65" s="252">
        <f>Données!P65</f>
        <v>109551.77</v>
      </c>
      <c r="Q65" s="252">
        <f>Données!Q65</f>
        <v>3771.5</v>
      </c>
      <c r="R65" s="252">
        <f>Données!R65</f>
        <v>-228.2</v>
      </c>
      <c r="S65" s="244"/>
      <c r="T65" s="236">
        <f t="shared" si="2"/>
        <v>1439676.4306059426</v>
      </c>
      <c r="U65" s="253">
        <f t="shared" si="0"/>
        <v>144794.15</v>
      </c>
      <c r="V65" s="253">
        <f t="shared" si="1"/>
        <v>113095.07</v>
      </c>
      <c r="W65" s="254">
        <f t="shared" si="3"/>
        <v>1697565.6506059426</v>
      </c>
      <c r="X65" s="236">
        <f t="shared" si="4"/>
        <v>1851.2166309770366</v>
      </c>
      <c r="Y65" s="255">
        <f t="shared" si="5"/>
        <v>0.53461136055779079</v>
      </c>
    </row>
    <row r="66" spans="1:25" x14ac:dyDescent="0.25">
      <c r="A66" s="111">
        <f>Données!A66</f>
        <v>5498</v>
      </c>
      <c r="B66" s="119" t="str">
        <f>Données!B66</f>
        <v>La Sarraz</v>
      </c>
      <c r="C66" s="249">
        <f>Données!C66</f>
        <v>2609</v>
      </c>
      <c r="D66" s="250">
        <f>Données!D66</f>
        <v>70</v>
      </c>
      <c r="E66" s="251">
        <f>Données!E66</f>
        <v>1</v>
      </c>
      <c r="F66" s="252">
        <f>Données!F66</f>
        <v>4190123.88</v>
      </c>
      <c r="G66" s="252">
        <f>Données!G66</f>
        <v>491420.3</v>
      </c>
      <c r="H66" s="252">
        <f>Données!H66</f>
        <v>155786.35</v>
      </c>
      <c r="I66" s="252">
        <f>Données!I66</f>
        <v>11416.65</v>
      </c>
      <c r="J66" s="252">
        <f>Données!J66</f>
        <v>0</v>
      </c>
      <c r="K66" s="252">
        <f>Données!K66</f>
        <v>4047.05</v>
      </c>
      <c r="L66" s="252">
        <f>Données!L66</f>
        <v>-133005.95000000001</v>
      </c>
      <c r="M66" s="252">
        <f>Données!M66</f>
        <v>0</v>
      </c>
      <c r="N66" s="252">
        <f>Données!N66</f>
        <v>15566.36</v>
      </c>
      <c r="O66" s="252">
        <f>Données!O66</f>
        <v>430514.2</v>
      </c>
      <c r="P66" s="252">
        <f>Données!P66</f>
        <v>170685.91</v>
      </c>
      <c r="Q66" s="252">
        <f>Données!Q66</f>
        <v>29219.8</v>
      </c>
      <c r="R66" s="252">
        <f>Données!R66</f>
        <v>-269.3</v>
      </c>
      <c r="S66" s="244"/>
      <c r="T66" s="236">
        <f t="shared" si="2"/>
        <v>4553630.4125305368</v>
      </c>
      <c r="U66" s="253">
        <f t="shared" si="0"/>
        <v>430514.2</v>
      </c>
      <c r="V66" s="253">
        <f t="shared" si="1"/>
        <v>199636.41</v>
      </c>
      <c r="W66" s="254">
        <f t="shared" si="3"/>
        <v>5183781.0225305371</v>
      </c>
      <c r="X66" s="236">
        <f t="shared" si="4"/>
        <v>1986.8842554735672</v>
      </c>
      <c r="Y66" s="255">
        <f t="shared" si="5"/>
        <v>0.57379070461837978</v>
      </c>
    </row>
    <row r="67" spans="1:25" x14ac:dyDescent="0.25">
      <c r="A67" s="111">
        <f>Données!A67</f>
        <v>5499</v>
      </c>
      <c r="B67" s="119" t="str">
        <f>Données!B67</f>
        <v>Senarclens</v>
      </c>
      <c r="C67" s="249">
        <f>Données!C67</f>
        <v>505</v>
      </c>
      <c r="D67" s="250">
        <f>Données!D67</f>
        <v>68.5</v>
      </c>
      <c r="E67" s="251">
        <f>Données!E67</f>
        <v>1</v>
      </c>
      <c r="F67" s="252">
        <f>Données!F67</f>
        <v>1206251.51</v>
      </c>
      <c r="G67" s="252">
        <f>Données!G67</f>
        <v>150388.78</v>
      </c>
      <c r="H67" s="252">
        <f>Données!H67</f>
        <v>42642.95</v>
      </c>
      <c r="I67" s="252">
        <f>Données!I67</f>
        <v>3358.05</v>
      </c>
      <c r="J67" s="252">
        <f>Données!J67</f>
        <v>0</v>
      </c>
      <c r="K67" s="252">
        <f>Données!K67</f>
        <v>2276.58</v>
      </c>
      <c r="L67" s="252">
        <f>Données!L67</f>
        <v>-7125.74</v>
      </c>
      <c r="M67" s="252">
        <f>Données!M67</f>
        <v>0</v>
      </c>
      <c r="N67" s="252">
        <f>Données!N67</f>
        <v>4282.63</v>
      </c>
      <c r="O67" s="252">
        <f>Données!O67</f>
        <v>110504.1</v>
      </c>
      <c r="P67" s="252">
        <f>Données!P67</f>
        <v>11389.11</v>
      </c>
      <c r="Q67" s="252">
        <f>Données!Q67</f>
        <v>0</v>
      </c>
      <c r="R67" s="252">
        <f>Données!R67</f>
        <v>-3532.2</v>
      </c>
      <c r="S67" s="244"/>
      <c r="T67" s="236">
        <f t="shared" si="2"/>
        <v>1377792.7939772145</v>
      </c>
      <c r="U67" s="253">
        <f t="shared" si="0"/>
        <v>110504.1</v>
      </c>
      <c r="V67" s="253">
        <f t="shared" si="1"/>
        <v>7856.9100000000008</v>
      </c>
      <c r="W67" s="254">
        <f t="shared" si="3"/>
        <v>1496153.8039772145</v>
      </c>
      <c r="X67" s="236">
        <f t="shared" si="4"/>
        <v>2962.6807999548801</v>
      </c>
      <c r="Y67" s="255">
        <f t="shared" si="5"/>
        <v>0.85559020314460954</v>
      </c>
    </row>
    <row r="68" spans="1:25" x14ac:dyDescent="0.25">
      <c r="A68" s="111">
        <f>Données!A68</f>
        <v>5501</v>
      </c>
      <c r="B68" s="119" t="str">
        <f>Données!B68</f>
        <v>Sullens</v>
      </c>
      <c r="C68" s="249">
        <f>Données!C68</f>
        <v>1282</v>
      </c>
      <c r="D68" s="250">
        <f>Données!D68</f>
        <v>64</v>
      </c>
      <c r="E68" s="251">
        <f>Données!E68</f>
        <v>1</v>
      </c>
      <c r="F68" s="252">
        <f>Données!F68</f>
        <v>2830921.13</v>
      </c>
      <c r="G68" s="252">
        <f>Données!G68</f>
        <v>428914.08</v>
      </c>
      <c r="H68" s="252">
        <f>Données!H68</f>
        <v>167413.4</v>
      </c>
      <c r="I68" s="252">
        <f>Données!I68</f>
        <v>4148.95</v>
      </c>
      <c r="J68" s="252">
        <f>Données!J68</f>
        <v>0</v>
      </c>
      <c r="K68" s="252">
        <f>Données!K68</f>
        <v>1458.68</v>
      </c>
      <c r="L68" s="252">
        <f>Données!L68</f>
        <v>-33264.660000000003</v>
      </c>
      <c r="M68" s="252">
        <f>Données!M68</f>
        <v>0</v>
      </c>
      <c r="N68" s="252">
        <f>Données!N68</f>
        <v>15972.21</v>
      </c>
      <c r="O68" s="252">
        <f>Données!O68</f>
        <v>293416.2</v>
      </c>
      <c r="P68" s="252">
        <f>Données!P68</f>
        <v>633.37</v>
      </c>
      <c r="Q68" s="252">
        <f>Données!Q68</f>
        <v>0</v>
      </c>
      <c r="R68" s="252">
        <f>Données!R68</f>
        <v>-2005.7</v>
      </c>
      <c r="S68" s="244"/>
      <c r="T68" s="236">
        <f t="shared" si="2"/>
        <v>3592408.6712969528</v>
      </c>
      <c r="U68" s="253">
        <f t="shared" si="0"/>
        <v>293416.2</v>
      </c>
      <c r="V68" s="253">
        <f t="shared" si="1"/>
        <v>-1372.33</v>
      </c>
      <c r="W68" s="254">
        <f t="shared" si="3"/>
        <v>3884452.5412969529</v>
      </c>
      <c r="X68" s="236">
        <f t="shared" si="4"/>
        <v>3029.9941819789024</v>
      </c>
      <c r="Y68" s="255">
        <f t="shared" si="5"/>
        <v>0.87502958054941171</v>
      </c>
    </row>
    <row r="69" spans="1:25" x14ac:dyDescent="0.25">
      <c r="A69" s="111">
        <f>Données!A69</f>
        <v>5503</v>
      </c>
      <c r="B69" s="119" t="str">
        <f>Données!B69</f>
        <v>Vufflens-la-Ville</v>
      </c>
      <c r="C69" s="249">
        <f>Données!C69</f>
        <v>1327</v>
      </c>
      <c r="D69" s="250">
        <f>Données!D69</f>
        <v>67</v>
      </c>
      <c r="E69" s="251">
        <f>Données!E69</f>
        <v>1.2</v>
      </c>
      <c r="F69" s="252">
        <f>Données!F69</f>
        <v>3103743.2</v>
      </c>
      <c r="G69" s="252">
        <f>Données!G69</f>
        <v>621308.28</v>
      </c>
      <c r="H69" s="252">
        <f>Données!H69</f>
        <v>3049093.5</v>
      </c>
      <c r="I69" s="252">
        <f>Données!I69</f>
        <v>8763.75</v>
      </c>
      <c r="J69" s="252">
        <f>Données!J69</f>
        <v>0</v>
      </c>
      <c r="K69" s="252">
        <f>Données!K69</f>
        <v>3943.3</v>
      </c>
      <c r="L69" s="252">
        <f>Données!L69</f>
        <v>-36346.620000000003</v>
      </c>
      <c r="M69" s="252">
        <f>Données!M69</f>
        <v>0</v>
      </c>
      <c r="N69" s="252">
        <f>Données!N69</f>
        <v>283680.92</v>
      </c>
      <c r="O69" s="252">
        <f>Données!O69</f>
        <v>633694.55000000005</v>
      </c>
      <c r="P69" s="252">
        <f>Données!P69</f>
        <v>89960.51</v>
      </c>
      <c r="Q69" s="252">
        <f>Données!Q69</f>
        <v>66106.850000000006</v>
      </c>
      <c r="R69" s="252">
        <f>Données!R69</f>
        <v>-17410.849999999999</v>
      </c>
      <c r="S69" s="244"/>
      <c r="T69" s="236">
        <f t="shared" si="2"/>
        <v>7067118.5204605563</v>
      </c>
      <c r="U69" s="253">
        <f t="shared" si="0"/>
        <v>528078.79166666674</v>
      </c>
      <c r="V69" s="253">
        <f t="shared" si="1"/>
        <v>138656.50999999998</v>
      </c>
      <c r="W69" s="254">
        <f t="shared" si="3"/>
        <v>7733853.822127223</v>
      </c>
      <c r="X69" s="236">
        <f t="shared" si="4"/>
        <v>5828.0737167499792</v>
      </c>
      <c r="Y69" s="255">
        <f t="shared" si="5"/>
        <v>1.6830847168320715</v>
      </c>
    </row>
    <row r="70" spans="1:25" x14ac:dyDescent="0.25">
      <c r="A70" s="111">
        <f>Données!A70</f>
        <v>5511</v>
      </c>
      <c r="B70" s="119" t="str">
        <f>Données!B70</f>
        <v>Assens</v>
      </c>
      <c r="C70" s="249">
        <f>Données!C70</f>
        <v>1747</v>
      </c>
      <c r="D70" s="250">
        <f>Données!D70</f>
        <v>70</v>
      </c>
      <c r="E70" s="251">
        <f>Données!E70</f>
        <v>1</v>
      </c>
      <c r="F70" s="252">
        <f>Données!F70</f>
        <v>3630211.33</v>
      </c>
      <c r="G70" s="252">
        <f>Données!G70</f>
        <v>612843.73</v>
      </c>
      <c r="H70" s="252">
        <f>Données!H70</f>
        <v>384808.35</v>
      </c>
      <c r="I70" s="252">
        <f>Données!I70</f>
        <v>58773.35</v>
      </c>
      <c r="J70" s="252">
        <f>Données!J70</f>
        <v>0</v>
      </c>
      <c r="K70" s="252">
        <f>Données!K70</f>
        <v>50690.65</v>
      </c>
      <c r="L70" s="252">
        <f>Données!L70</f>
        <v>-54165.99</v>
      </c>
      <c r="M70" s="252">
        <f>Données!M70</f>
        <v>0</v>
      </c>
      <c r="N70" s="252">
        <f>Données!N70</f>
        <v>41296.83</v>
      </c>
      <c r="O70" s="252">
        <f>Données!O70</f>
        <v>432845.65</v>
      </c>
      <c r="P70" s="252">
        <f>Données!P70</f>
        <v>81576.570000000007</v>
      </c>
      <c r="Q70" s="252">
        <f>Données!Q70</f>
        <v>21205.55</v>
      </c>
      <c r="R70" s="252">
        <f>Données!R70</f>
        <v>-4185</v>
      </c>
      <c r="S70" s="244"/>
      <c r="T70" s="236">
        <f t="shared" si="2"/>
        <v>4543152.1829864047</v>
      </c>
      <c r="U70" s="253">
        <f t="shared" si="0"/>
        <v>432845.65</v>
      </c>
      <c r="V70" s="253">
        <f t="shared" si="1"/>
        <v>98597.12000000001</v>
      </c>
      <c r="W70" s="254">
        <f t="shared" si="3"/>
        <v>5074594.9529864052</v>
      </c>
      <c r="X70" s="236">
        <f t="shared" si="4"/>
        <v>2904.7481127569577</v>
      </c>
      <c r="Y70" s="255">
        <f t="shared" si="5"/>
        <v>0.8388598690468092</v>
      </c>
    </row>
    <row r="71" spans="1:25" x14ac:dyDescent="0.25">
      <c r="A71" s="111">
        <f>Données!A71</f>
        <v>5512</v>
      </c>
      <c r="B71" s="119" t="str">
        <f>Données!B71</f>
        <v>Bercher</v>
      </c>
      <c r="C71" s="249">
        <f>Données!C71</f>
        <v>1359</v>
      </c>
      <c r="D71" s="250">
        <f>Données!D71</f>
        <v>79</v>
      </c>
      <c r="E71" s="251">
        <f>Données!E71</f>
        <v>1</v>
      </c>
      <c r="F71" s="252">
        <f>Données!F71</f>
        <v>2588002.89</v>
      </c>
      <c r="G71" s="252">
        <f>Données!G71</f>
        <v>394577.28</v>
      </c>
      <c r="H71" s="252">
        <f>Données!H71</f>
        <v>25291.9</v>
      </c>
      <c r="I71" s="252">
        <f>Données!I71</f>
        <v>975.5</v>
      </c>
      <c r="J71" s="252">
        <f>Données!J71</f>
        <v>0</v>
      </c>
      <c r="K71" s="252">
        <f>Données!K71</f>
        <v>11375.73</v>
      </c>
      <c r="L71" s="252">
        <f>Données!L71</f>
        <v>-20166.12</v>
      </c>
      <c r="M71" s="252">
        <f>Données!M71</f>
        <v>0</v>
      </c>
      <c r="N71" s="252">
        <f>Données!N71</f>
        <v>2445.46</v>
      </c>
      <c r="O71" s="252">
        <f>Données!O71</f>
        <v>300368.7</v>
      </c>
      <c r="P71" s="252">
        <f>Données!P71</f>
        <v>32386.639999999999</v>
      </c>
      <c r="Q71" s="252">
        <f>Données!Q71</f>
        <v>15275.85</v>
      </c>
      <c r="R71" s="252">
        <f>Données!R71</f>
        <v>-205.9</v>
      </c>
      <c r="S71" s="244"/>
      <c r="T71" s="236">
        <f t="shared" si="2"/>
        <v>2558347.9805777259</v>
      </c>
      <c r="U71" s="253">
        <f t="shared" si="0"/>
        <v>300368.7</v>
      </c>
      <c r="V71" s="253">
        <f t="shared" si="1"/>
        <v>47456.59</v>
      </c>
      <c r="W71" s="254">
        <f t="shared" si="3"/>
        <v>2906173.270577726</v>
      </c>
      <c r="X71" s="236">
        <f t="shared" si="4"/>
        <v>2138.4645110947213</v>
      </c>
      <c r="Y71" s="255">
        <f t="shared" si="5"/>
        <v>0.61756544461115592</v>
      </c>
    </row>
    <row r="72" spans="1:25" x14ac:dyDescent="0.25">
      <c r="A72" s="111">
        <f>Données!A72</f>
        <v>5514</v>
      </c>
      <c r="B72" s="119" t="str">
        <f>Données!B72</f>
        <v>Bottens</v>
      </c>
      <c r="C72" s="249">
        <f>Données!C72</f>
        <v>1389</v>
      </c>
      <c r="D72" s="250">
        <f>Données!D72</f>
        <v>72.5</v>
      </c>
      <c r="E72" s="251">
        <f>Données!E72</f>
        <v>1</v>
      </c>
      <c r="F72" s="252">
        <f>Données!F72</f>
        <v>2624572.62</v>
      </c>
      <c r="G72" s="252">
        <f>Données!G72</f>
        <v>371137.06</v>
      </c>
      <c r="H72" s="252">
        <f>Données!H72</f>
        <v>48215.6</v>
      </c>
      <c r="I72" s="252">
        <f>Données!I72</f>
        <v>7658.15</v>
      </c>
      <c r="J72" s="252">
        <f>Données!J72</f>
        <v>45412.1</v>
      </c>
      <c r="K72" s="252">
        <f>Données!K72</f>
        <v>1805.7</v>
      </c>
      <c r="L72" s="252">
        <f>Données!L72</f>
        <v>-80584.39</v>
      </c>
      <c r="M72" s="252">
        <f>Données!M72</f>
        <v>0</v>
      </c>
      <c r="N72" s="252">
        <f>Données!N72</f>
        <v>5201.7700000000004</v>
      </c>
      <c r="O72" s="252">
        <f>Données!O72</f>
        <v>259192.2</v>
      </c>
      <c r="P72" s="252">
        <f>Données!P72</f>
        <v>66656.52</v>
      </c>
      <c r="Q72" s="252">
        <f>Données!Q72</f>
        <v>15746</v>
      </c>
      <c r="R72" s="252">
        <f>Données!R72</f>
        <v>-4173.8999999999996</v>
      </c>
      <c r="S72" s="244"/>
      <c r="T72" s="236">
        <f t="shared" ref="T72:T135" si="6">(SUM(F72:N72)/D72*$T$4)</f>
        <v>2807136.8454813748</v>
      </c>
      <c r="U72" s="253">
        <f t="shared" ref="U72:U135" si="7">O72/E72*$U$4</f>
        <v>259192.2</v>
      </c>
      <c r="V72" s="253">
        <f t="shared" ref="V72:V135" si="8">SUM(P72:R72)</f>
        <v>78228.62000000001</v>
      </c>
      <c r="W72" s="254">
        <f t="shared" ref="W72:W135" si="9">SUM(T72:V72)</f>
        <v>3144557.6654813751</v>
      </c>
      <c r="X72" s="236">
        <f t="shared" ref="X72:X135" si="10">W72/C72</f>
        <v>2263.9004071140207</v>
      </c>
      <c r="Y72" s="255">
        <f t="shared" ref="Y72:Y135" si="11">X72/$X$308</f>
        <v>0.65378997604174849</v>
      </c>
    </row>
    <row r="73" spans="1:25" x14ac:dyDescent="0.25">
      <c r="A73" s="111">
        <f>Données!A73</f>
        <v>5515</v>
      </c>
      <c r="B73" s="119" t="str">
        <f>Données!B73</f>
        <v>Bretigny-sur-Morrens</v>
      </c>
      <c r="C73" s="249">
        <f>Données!C73</f>
        <v>893</v>
      </c>
      <c r="D73" s="250">
        <f>Données!D73</f>
        <v>76</v>
      </c>
      <c r="E73" s="251">
        <f>Données!E73</f>
        <v>1</v>
      </c>
      <c r="F73" s="252">
        <f>Données!F73</f>
        <v>1843777.86</v>
      </c>
      <c r="G73" s="252">
        <f>Données!G73</f>
        <v>251851.59</v>
      </c>
      <c r="H73" s="252">
        <f>Données!H73</f>
        <v>54153.45</v>
      </c>
      <c r="I73" s="252">
        <f>Données!I73</f>
        <v>10655</v>
      </c>
      <c r="J73" s="252">
        <f>Données!J73</f>
        <v>0</v>
      </c>
      <c r="K73" s="252">
        <f>Données!K73</f>
        <v>2648.64</v>
      </c>
      <c r="L73" s="252">
        <f>Données!L73</f>
        <v>-40663.599999999999</v>
      </c>
      <c r="M73" s="252">
        <f>Données!M73</f>
        <v>0</v>
      </c>
      <c r="N73" s="252">
        <f>Données!N73</f>
        <v>6033.58</v>
      </c>
      <c r="O73" s="252">
        <f>Données!O73</f>
        <v>193242.05</v>
      </c>
      <c r="P73" s="252">
        <f>Données!P73</f>
        <v>21794.01</v>
      </c>
      <c r="Q73" s="252">
        <f>Données!Q73</f>
        <v>18224.55</v>
      </c>
      <c r="R73" s="252">
        <f>Données!R73</f>
        <v>-365.05</v>
      </c>
      <c r="S73" s="244"/>
      <c r="T73" s="236">
        <f t="shared" si="6"/>
        <v>1885187.2759169778</v>
      </c>
      <c r="U73" s="253">
        <f t="shared" si="7"/>
        <v>193242.05</v>
      </c>
      <c r="V73" s="253">
        <f t="shared" si="8"/>
        <v>39653.509999999995</v>
      </c>
      <c r="W73" s="254">
        <f t="shared" si="9"/>
        <v>2118082.8359169778</v>
      </c>
      <c r="X73" s="236">
        <f t="shared" si="10"/>
        <v>2371.8732765027748</v>
      </c>
      <c r="Y73" s="255">
        <f t="shared" si="11"/>
        <v>0.68497137407012787</v>
      </c>
    </row>
    <row r="74" spans="1:25" x14ac:dyDescent="0.25">
      <c r="A74" s="111">
        <f>Données!A74</f>
        <v>5516</v>
      </c>
      <c r="B74" s="119" t="str">
        <f>Données!B74</f>
        <v>Cugy</v>
      </c>
      <c r="C74" s="249">
        <f>Données!C74</f>
        <v>2824</v>
      </c>
      <c r="D74" s="250">
        <f>Données!D74</f>
        <v>76</v>
      </c>
      <c r="E74" s="251">
        <f>Données!E74</f>
        <v>1.2</v>
      </c>
      <c r="F74" s="252">
        <f>Données!F74</f>
        <v>6293187.25</v>
      </c>
      <c r="G74" s="252">
        <f>Données!G74</f>
        <v>900285.9</v>
      </c>
      <c r="H74" s="252">
        <f>Données!H74</f>
        <v>318852.40000000002</v>
      </c>
      <c r="I74" s="252">
        <f>Données!I74</f>
        <v>8864.9500000000007</v>
      </c>
      <c r="J74" s="252">
        <f>Données!J74</f>
        <v>70513.03</v>
      </c>
      <c r="K74" s="252">
        <f>Données!K74</f>
        <v>44105.38</v>
      </c>
      <c r="L74" s="252">
        <f>Données!L74</f>
        <v>-140770.29</v>
      </c>
      <c r="M74" s="252">
        <f>Données!M74</f>
        <v>0</v>
      </c>
      <c r="N74" s="252">
        <f>Données!N74</f>
        <v>30510.03</v>
      </c>
      <c r="O74" s="252">
        <f>Données!O74</f>
        <v>791201.85</v>
      </c>
      <c r="P74" s="252">
        <f>Données!P74</f>
        <v>185283.33</v>
      </c>
      <c r="Q74" s="252">
        <f>Données!Q74</f>
        <v>57859</v>
      </c>
      <c r="R74" s="252">
        <f>Données!R74</f>
        <v>-5449.05</v>
      </c>
      <c r="S74" s="244"/>
      <c r="T74" s="236">
        <f t="shared" si="6"/>
        <v>6665425.5917213606</v>
      </c>
      <c r="U74" s="253">
        <f t="shared" si="7"/>
        <v>659334.875</v>
      </c>
      <c r="V74" s="253">
        <f t="shared" si="8"/>
        <v>237693.28</v>
      </c>
      <c r="W74" s="254">
        <f t="shared" si="9"/>
        <v>7562453.7467213608</v>
      </c>
      <c r="X74" s="236">
        <f t="shared" si="10"/>
        <v>2677.9227148446744</v>
      </c>
      <c r="Y74" s="255">
        <f t="shared" si="11"/>
        <v>0.77335514498707147</v>
      </c>
    </row>
    <row r="75" spans="1:25" x14ac:dyDescent="0.25">
      <c r="A75" s="111">
        <f>Données!A75</f>
        <v>5518</v>
      </c>
      <c r="B75" s="119" t="str">
        <f>Données!B75</f>
        <v>Echallens</v>
      </c>
      <c r="C75" s="249">
        <f>Données!C75</f>
        <v>6816</v>
      </c>
      <c r="D75" s="250">
        <f>Données!D75</f>
        <v>72.5</v>
      </c>
      <c r="E75" s="251">
        <f>Données!E75</f>
        <v>1</v>
      </c>
      <c r="F75" s="252">
        <f>Données!F75</f>
        <v>11849472.27</v>
      </c>
      <c r="G75" s="252">
        <f>Données!G75</f>
        <v>1358456.84</v>
      </c>
      <c r="H75" s="252">
        <f>Données!H75</f>
        <v>867702.4</v>
      </c>
      <c r="I75" s="252">
        <f>Données!I75</f>
        <v>29114.9</v>
      </c>
      <c r="J75" s="252">
        <f>Données!J75</f>
        <v>0</v>
      </c>
      <c r="K75" s="252">
        <f>Données!K75</f>
        <v>40228.65</v>
      </c>
      <c r="L75" s="252">
        <f>Données!L75</f>
        <v>-839944.38</v>
      </c>
      <c r="M75" s="252">
        <f>Données!M75</f>
        <v>0</v>
      </c>
      <c r="N75" s="252">
        <f>Données!N75</f>
        <v>83492.429999999993</v>
      </c>
      <c r="O75" s="252">
        <f>Données!O75</f>
        <v>1268333.95</v>
      </c>
      <c r="P75" s="252">
        <f>Données!P75</f>
        <v>287579.09999999998</v>
      </c>
      <c r="Q75" s="252">
        <f>Données!Q75</f>
        <v>91865.35</v>
      </c>
      <c r="R75" s="252">
        <f>Données!R75</f>
        <v>-1849.4</v>
      </c>
      <c r="S75" s="244"/>
      <c r="T75" s="236">
        <f t="shared" si="6"/>
        <v>12430768.403803628</v>
      </c>
      <c r="U75" s="253">
        <f t="shared" si="7"/>
        <v>1268333.95</v>
      </c>
      <c r="V75" s="253">
        <f t="shared" si="8"/>
        <v>377595.04999999993</v>
      </c>
      <c r="W75" s="254">
        <f t="shared" si="9"/>
        <v>14076697.403803628</v>
      </c>
      <c r="X75" s="236">
        <f t="shared" si="10"/>
        <v>2065.2431637035838</v>
      </c>
      <c r="Y75" s="255">
        <f t="shared" si="11"/>
        <v>0.59641991064412869</v>
      </c>
    </row>
    <row r="76" spans="1:25" x14ac:dyDescent="0.25">
      <c r="A76" s="111">
        <f>Données!A76</f>
        <v>5520</v>
      </c>
      <c r="B76" s="119" t="str">
        <f>Données!B76</f>
        <v>Essertines-sur-Yverdon</v>
      </c>
      <c r="C76" s="249">
        <f>Données!C76</f>
        <v>1183</v>
      </c>
      <c r="D76" s="250">
        <f>Données!D76</f>
        <v>72</v>
      </c>
      <c r="E76" s="251">
        <f>Données!E76</f>
        <v>1</v>
      </c>
      <c r="F76" s="252">
        <f>Données!F76</f>
        <v>2042783.45</v>
      </c>
      <c r="G76" s="252">
        <f>Données!G76</f>
        <v>318912.61</v>
      </c>
      <c r="H76" s="252">
        <f>Données!H76</f>
        <v>126932.05</v>
      </c>
      <c r="I76" s="252">
        <f>Données!I76</f>
        <v>2277.1</v>
      </c>
      <c r="J76" s="252">
        <f>Données!J76</f>
        <v>0</v>
      </c>
      <c r="K76" s="252">
        <f>Données!K76</f>
        <v>1565.96</v>
      </c>
      <c r="L76" s="252">
        <f>Données!L76</f>
        <v>-50944.53</v>
      </c>
      <c r="M76" s="252">
        <f>Données!M76</f>
        <v>0</v>
      </c>
      <c r="N76" s="252">
        <f>Données!N76</f>
        <v>12029.19</v>
      </c>
      <c r="O76" s="252">
        <f>Données!O76</f>
        <v>234124.6</v>
      </c>
      <c r="P76" s="252">
        <f>Données!P76</f>
        <v>-282.10000000000002</v>
      </c>
      <c r="Q76" s="252">
        <f>Données!Q76</f>
        <v>8950.1</v>
      </c>
      <c r="R76" s="252">
        <f>Données!R76</f>
        <v>-1022.8</v>
      </c>
      <c r="S76" s="244"/>
      <c r="T76" s="236">
        <f t="shared" si="6"/>
        <v>2293859.2035042276</v>
      </c>
      <c r="U76" s="253">
        <f t="shared" si="7"/>
        <v>234124.6</v>
      </c>
      <c r="V76" s="253">
        <f t="shared" si="8"/>
        <v>7645.2</v>
      </c>
      <c r="W76" s="254">
        <f t="shared" si="9"/>
        <v>2535629.0035042278</v>
      </c>
      <c r="X76" s="236">
        <f t="shared" si="10"/>
        <v>2143.3888448894572</v>
      </c>
      <c r="Y76" s="255">
        <f t="shared" si="11"/>
        <v>0.61898753900345571</v>
      </c>
    </row>
    <row r="77" spans="1:25" x14ac:dyDescent="0.25">
      <c r="A77" s="111">
        <f>Données!A77</f>
        <v>5521</v>
      </c>
      <c r="B77" s="119" t="str">
        <f>Données!B77</f>
        <v>Etagnières</v>
      </c>
      <c r="C77" s="249">
        <f>Données!C77</f>
        <v>1168</v>
      </c>
      <c r="D77" s="250">
        <f>Données!D77</f>
        <v>73</v>
      </c>
      <c r="E77" s="251">
        <f>Données!E77</f>
        <v>1</v>
      </c>
      <c r="F77" s="252">
        <f>Données!F77</f>
        <v>2360247.9300000002</v>
      </c>
      <c r="G77" s="252">
        <f>Données!G77</f>
        <v>288158.42</v>
      </c>
      <c r="H77" s="252">
        <f>Données!H77</f>
        <v>128241.75</v>
      </c>
      <c r="I77" s="252">
        <f>Données!I77</f>
        <v>17268.95</v>
      </c>
      <c r="J77" s="252">
        <f>Données!J77</f>
        <v>0</v>
      </c>
      <c r="K77" s="252">
        <f>Données!K77</f>
        <v>7177.2</v>
      </c>
      <c r="L77" s="252">
        <f>Données!L77</f>
        <v>-18003.099999999999</v>
      </c>
      <c r="M77" s="252">
        <f>Données!M77</f>
        <v>0</v>
      </c>
      <c r="N77" s="252">
        <f>Données!N77</f>
        <v>13546.84</v>
      </c>
      <c r="O77" s="252">
        <f>Données!O77</f>
        <v>294063.95</v>
      </c>
      <c r="P77" s="252">
        <f>Données!P77</f>
        <v>81781.91</v>
      </c>
      <c r="Q77" s="252">
        <f>Données!Q77</f>
        <v>20903.400000000001</v>
      </c>
      <c r="R77" s="252">
        <f>Données!R77</f>
        <v>-2042.35</v>
      </c>
      <c r="S77" s="244"/>
      <c r="T77" s="236">
        <f t="shared" si="6"/>
        <v>2578794.3024215656</v>
      </c>
      <c r="U77" s="253">
        <f t="shared" si="7"/>
        <v>294063.95</v>
      </c>
      <c r="V77" s="253">
        <f t="shared" si="8"/>
        <v>100642.95999999999</v>
      </c>
      <c r="W77" s="254">
        <f t="shared" si="9"/>
        <v>2973501.2124215658</v>
      </c>
      <c r="X77" s="236">
        <f t="shared" si="10"/>
        <v>2545.8058325527104</v>
      </c>
      <c r="Y77" s="255">
        <f t="shared" si="11"/>
        <v>0.73520121690925244</v>
      </c>
    </row>
    <row r="78" spans="1:25" x14ac:dyDescent="0.25">
      <c r="A78" s="111">
        <f>Données!A78</f>
        <v>5522</v>
      </c>
      <c r="B78" s="119" t="str">
        <f>Données!B78</f>
        <v>Fey</v>
      </c>
      <c r="C78" s="249">
        <f>Données!C78</f>
        <v>791</v>
      </c>
      <c r="D78" s="250">
        <f>Données!D78</f>
        <v>75</v>
      </c>
      <c r="E78" s="251">
        <f>Données!E78</f>
        <v>1</v>
      </c>
      <c r="F78" s="252">
        <f>Données!F78</f>
        <v>1460614.45</v>
      </c>
      <c r="G78" s="252">
        <f>Données!G78</f>
        <v>191810.02</v>
      </c>
      <c r="H78" s="252">
        <f>Données!H78</f>
        <v>16461.7</v>
      </c>
      <c r="I78" s="252">
        <f>Données!I78</f>
        <v>4682.3999999999996</v>
      </c>
      <c r="J78" s="252">
        <f>Données!J78</f>
        <v>0</v>
      </c>
      <c r="K78" s="252">
        <f>Données!K78</f>
        <v>7636.22</v>
      </c>
      <c r="L78" s="252">
        <f>Données!L78</f>
        <v>-24145.11</v>
      </c>
      <c r="M78" s="252">
        <f>Données!M78</f>
        <v>0</v>
      </c>
      <c r="N78" s="252">
        <f>Données!N78</f>
        <v>1968.49</v>
      </c>
      <c r="O78" s="252">
        <f>Données!O78</f>
        <v>155576.15</v>
      </c>
      <c r="P78" s="252">
        <f>Données!P78</f>
        <v>6337.39</v>
      </c>
      <c r="Q78" s="252">
        <f>Données!Q78</f>
        <v>5510.9</v>
      </c>
      <c r="R78" s="252">
        <f>Données!R78</f>
        <v>0</v>
      </c>
      <c r="S78" s="244"/>
      <c r="T78" s="236">
        <f t="shared" si="6"/>
        <v>1489003.8003179184</v>
      </c>
      <c r="U78" s="253">
        <f t="shared" si="7"/>
        <v>155576.15</v>
      </c>
      <c r="V78" s="253">
        <f t="shared" si="8"/>
        <v>11848.29</v>
      </c>
      <c r="W78" s="254">
        <f t="shared" si="9"/>
        <v>1656428.2403179184</v>
      </c>
      <c r="X78" s="236">
        <f t="shared" si="10"/>
        <v>2094.0938562805541</v>
      </c>
      <c r="Y78" s="255">
        <f t="shared" si="11"/>
        <v>0.60475167892749171</v>
      </c>
    </row>
    <row r="79" spans="1:25" x14ac:dyDescent="0.25">
      <c r="A79" s="111">
        <f>Données!A79</f>
        <v>5523</v>
      </c>
      <c r="B79" s="119" t="str">
        <f>Données!B79</f>
        <v>Froideville</v>
      </c>
      <c r="C79" s="249">
        <f>Données!C79</f>
        <v>2713</v>
      </c>
      <c r="D79" s="250">
        <f>Données!D79</f>
        <v>72</v>
      </c>
      <c r="E79" s="251">
        <f>Données!E79</f>
        <v>1.25</v>
      </c>
      <c r="F79" s="252">
        <f>Données!F79</f>
        <v>5184639.49</v>
      </c>
      <c r="G79" s="252">
        <f>Données!G79</f>
        <v>658563.39</v>
      </c>
      <c r="H79" s="252">
        <f>Données!H79</f>
        <v>28402.65</v>
      </c>
      <c r="I79" s="252">
        <f>Données!I79</f>
        <v>-6345.85</v>
      </c>
      <c r="J79" s="252">
        <f>Données!J79</f>
        <v>0</v>
      </c>
      <c r="K79" s="252">
        <f>Données!K79</f>
        <v>5385.48</v>
      </c>
      <c r="L79" s="252">
        <f>Données!L79</f>
        <v>-41946.02</v>
      </c>
      <c r="M79" s="252">
        <f>Données!M79</f>
        <v>0</v>
      </c>
      <c r="N79" s="252">
        <f>Données!N79</f>
        <v>2053.46</v>
      </c>
      <c r="O79" s="252">
        <f>Données!O79</f>
        <v>703755.75</v>
      </c>
      <c r="P79" s="252">
        <f>Données!P79</f>
        <v>37862.379999999997</v>
      </c>
      <c r="Q79" s="252">
        <f>Données!Q79</f>
        <v>25730.799999999999</v>
      </c>
      <c r="R79" s="252">
        <f>Données!R79</f>
        <v>-7810.85</v>
      </c>
      <c r="S79" s="244"/>
      <c r="T79" s="236">
        <f t="shared" si="6"/>
        <v>5451241.5618707193</v>
      </c>
      <c r="U79" s="253">
        <f t="shared" si="7"/>
        <v>563004.6</v>
      </c>
      <c r="V79" s="253">
        <f t="shared" si="8"/>
        <v>55782.329999999994</v>
      </c>
      <c r="W79" s="254">
        <f t="shared" si="9"/>
        <v>6070028.491870719</v>
      </c>
      <c r="X79" s="236">
        <f t="shared" si="10"/>
        <v>2237.3861009475559</v>
      </c>
      <c r="Y79" s="255">
        <f t="shared" si="11"/>
        <v>0.64613293090899249</v>
      </c>
    </row>
    <row r="80" spans="1:25" x14ac:dyDescent="0.25">
      <c r="A80" s="111">
        <f>Données!A80</f>
        <v>5527</v>
      </c>
      <c r="B80" s="119" t="str">
        <f>Données!B80</f>
        <v>Morrens</v>
      </c>
      <c r="C80" s="249">
        <f>Données!C80</f>
        <v>1145</v>
      </c>
      <c r="D80" s="250">
        <f>Données!D80</f>
        <v>74</v>
      </c>
      <c r="E80" s="251">
        <f>Données!E80</f>
        <v>1</v>
      </c>
      <c r="F80" s="252">
        <f>Données!F80</f>
        <v>2515634.67</v>
      </c>
      <c r="G80" s="252">
        <f>Données!G80</f>
        <v>440226.89</v>
      </c>
      <c r="H80" s="252">
        <f>Données!H80</f>
        <v>14664.3</v>
      </c>
      <c r="I80" s="252">
        <f>Données!I80</f>
        <v>6418.45</v>
      </c>
      <c r="J80" s="252">
        <f>Données!J80</f>
        <v>0</v>
      </c>
      <c r="K80" s="252">
        <f>Données!K80</f>
        <v>4341.7700000000004</v>
      </c>
      <c r="L80" s="252">
        <f>Données!L80</f>
        <v>-25231.599999999999</v>
      </c>
      <c r="M80" s="252">
        <f>Données!M80</f>
        <v>0</v>
      </c>
      <c r="N80" s="252">
        <f>Données!N80</f>
        <v>1908.97</v>
      </c>
      <c r="O80" s="252">
        <f>Données!O80</f>
        <v>253499.4</v>
      </c>
      <c r="P80" s="252">
        <f>Données!P80</f>
        <v>29973.16</v>
      </c>
      <c r="Q80" s="252">
        <f>Données!Q80</f>
        <v>4157.75</v>
      </c>
      <c r="R80" s="252">
        <f>Données!R80</f>
        <v>-794.25</v>
      </c>
      <c r="S80" s="244"/>
      <c r="T80" s="236">
        <f t="shared" si="6"/>
        <v>2690694.5115170148</v>
      </c>
      <c r="U80" s="253">
        <f t="shared" si="7"/>
        <v>253499.4</v>
      </c>
      <c r="V80" s="253">
        <f t="shared" si="8"/>
        <v>33336.660000000003</v>
      </c>
      <c r="W80" s="254">
        <f t="shared" si="9"/>
        <v>2977530.5715170149</v>
      </c>
      <c r="X80" s="236">
        <f t="shared" si="10"/>
        <v>2600.4633812375678</v>
      </c>
      <c r="Y80" s="255">
        <f t="shared" si="11"/>
        <v>0.75098572639247985</v>
      </c>
    </row>
    <row r="81" spans="1:25" x14ac:dyDescent="0.25">
      <c r="A81" s="111">
        <f>Données!A81</f>
        <v>5529</v>
      </c>
      <c r="B81" s="119" t="str">
        <f>Données!B81</f>
        <v>Oulens-sous-Echallens</v>
      </c>
      <c r="C81" s="249">
        <f>Données!C81</f>
        <v>609</v>
      </c>
      <c r="D81" s="250">
        <f>Données!D81</f>
        <v>71</v>
      </c>
      <c r="E81" s="251">
        <f>Données!E81</f>
        <v>1</v>
      </c>
      <c r="F81" s="252">
        <f>Données!F81</f>
        <v>1227835.17</v>
      </c>
      <c r="G81" s="252">
        <f>Données!G81</f>
        <v>160200.98000000001</v>
      </c>
      <c r="H81" s="252">
        <f>Données!H81</f>
        <v>79388.899999999994</v>
      </c>
      <c r="I81" s="252">
        <f>Données!I81</f>
        <v>1778.5</v>
      </c>
      <c r="J81" s="252">
        <f>Données!J81</f>
        <v>0</v>
      </c>
      <c r="K81" s="252">
        <f>Données!K81</f>
        <v>269.37</v>
      </c>
      <c r="L81" s="252">
        <f>Données!L81</f>
        <v>-30436.21</v>
      </c>
      <c r="M81" s="252">
        <f>Données!M81</f>
        <v>0</v>
      </c>
      <c r="N81" s="252">
        <f>Données!N81</f>
        <v>7556.57</v>
      </c>
      <c r="O81" s="252">
        <f>Données!O81</f>
        <v>138496.95000000001</v>
      </c>
      <c r="P81" s="252">
        <f>Données!P81</f>
        <v>18108.580000000002</v>
      </c>
      <c r="Q81" s="252">
        <f>Données!Q81</f>
        <v>5172.05</v>
      </c>
      <c r="R81" s="252">
        <f>Données!R81</f>
        <v>-598.15</v>
      </c>
      <c r="S81" s="244"/>
      <c r="T81" s="236">
        <f t="shared" si="6"/>
        <v>1371486.0792554035</v>
      </c>
      <c r="U81" s="253">
        <f t="shared" si="7"/>
        <v>138496.95000000001</v>
      </c>
      <c r="V81" s="253">
        <f t="shared" si="8"/>
        <v>22682.48</v>
      </c>
      <c r="W81" s="254">
        <f t="shared" si="9"/>
        <v>1532665.5092554034</v>
      </c>
      <c r="X81" s="236">
        <f t="shared" si="10"/>
        <v>2516.6921334243079</v>
      </c>
      <c r="Y81" s="255">
        <f t="shared" si="11"/>
        <v>0.72679349517563197</v>
      </c>
    </row>
    <row r="82" spans="1:25" x14ac:dyDescent="0.25">
      <c r="A82" s="111">
        <f>Données!A82</f>
        <v>5530</v>
      </c>
      <c r="B82" s="119" t="str">
        <f>Données!B82</f>
        <v>Pailly</v>
      </c>
      <c r="C82" s="249">
        <f>Données!C82</f>
        <v>575</v>
      </c>
      <c r="D82" s="250">
        <f>Données!D82</f>
        <v>76</v>
      </c>
      <c r="E82" s="251">
        <f>Données!E82</f>
        <v>1.2</v>
      </c>
      <c r="F82" s="252">
        <f>Données!F82</f>
        <v>1234239.8400000001</v>
      </c>
      <c r="G82" s="252">
        <f>Données!G82</f>
        <v>149420.9</v>
      </c>
      <c r="H82" s="252">
        <f>Données!H82</f>
        <v>12427.75</v>
      </c>
      <c r="I82" s="252">
        <f>Données!I82</f>
        <v>6845.3</v>
      </c>
      <c r="J82" s="252">
        <f>Données!J82</f>
        <v>0</v>
      </c>
      <c r="K82" s="252">
        <f>Données!K82</f>
        <v>418.91</v>
      </c>
      <c r="L82" s="252">
        <f>Données!L82</f>
        <v>-7437.56</v>
      </c>
      <c r="M82" s="252">
        <f>Données!M82</f>
        <v>0</v>
      </c>
      <c r="N82" s="252">
        <f>Données!N82</f>
        <v>1794.29</v>
      </c>
      <c r="O82" s="252">
        <f>Données!O82</f>
        <v>140314.25</v>
      </c>
      <c r="P82" s="252">
        <f>Données!P82</f>
        <v>-2574.86</v>
      </c>
      <c r="Q82" s="252">
        <f>Données!Q82</f>
        <v>1400</v>
      </c>
      <c r="R82" s="252">
        <f>Données!R82</f>
        <v>-109.1</v>
      </c>
      <c r="S82" s="244"/>
      <c r="T82" s="236">
        <f t="shared" si="6"/>
        <v>1237959.9997021179</v>
      </c>
      <c r="U82" s="253">
        <f t="shared" si="7"/>
        <v>116928.54166666667</v>
      </c>
      <c r="V82" s="253">
        <f t="shared" si="8"/>
        <v>-1283.96</v>
      </c>
      <c r="W82" s="254">
        <f t="shared" si="9"/>
        <v>1353604.5813687847</v>
      </c>
      <c r="X82" s="236">
        <f t="shared" si="10"/>
        <v>2354.0949241196254</v>
      </c>
      <c r="Y82" s="255">
        <f t="shared" si="11"/>
        <v>0.67983717799766974</v>
      </c>
    </row>
    <row r="83" spans="1:25" x14ac:dyDescent="0.25">
      <c r="A83" s="111">
        <f>Données!A83</f>
        <v>5531</v>
      </c>
      <c r="B83" s="119" t="str">
        <f>Données!B83</f>
        <v>Penthéréaz</v>
      </c>
      <c r="C83" s="249">
        <f>Données!C83</f>
        <v>446</v>
      </c>
      <c r="D83" s="250">
        <f>Données!D83</f>
        <v>74</v>
      </c>
      <c r="E83" s="251">
        <f>Données!E83</f>
        <v>1</v>
      </c>
      <c r="F83" s="252">
        <f>Données!F83</f>
        <v>350325.91</v>
      </c>
      <c r="G83" s="252">
        <f>Données!G83</f>
        <v>41543.730000000003</v>
      </c>
      <c r="H83" s="252">
        <f>Données!H83</f>
        <v>18035.75</v>
      </c>
      <c r="I83" s="252">
        <f>Données!I83</f>
        <v>1606.85</v>
      </c>
      <c r="J83" s="252">
        <f>Données!J83</f>
        <v>0</v>
      </c>
      <c r="K83" s="252">
        <f>Données!K83</f>
        <v>0</v>
      </c>
      <c r="L83" s="252">
        <f>Données!L83</f>
        <v>-4379.67</v>
      </c>
      <c r="M83" s="252">
        <f>Données!M83</f>
        <v>0</v>
      </c>
      <c r="N83" s="252">
        <f>Données!N83</f>
        <v>1828.7</v>
      </c>
      <c r="O83" s="252">
        <f>Données!O83</f>
        <v>95517.55</v>
      </c>
      <c r="P83" s="252">
        <f>Données!P83</f>
        <v>12943.1</v>
      </c>
      <c r="Q83" s="252">
        <f>Données!Q83</f>
        <v>1739.3</v>
      </c>
      <c r="R83" s="252">
        <f>Données!R83</f>
        <v>-1279.9000000000001</v>
      </c>
      <c r="S83" s="244"/>
      <c r="T83" s="236">
        <f t="shared" si="6"/>
        <v>372009.2770625776</v>
      </c>
      <c r="U83" s="253">
        <f t="shared" si="7"/>
        <v>95517.55</v>
      </c>
      <c r="V83" s="253">
        <f t="shared" si="8"/>
        <v>13402.5</v>
      </c>
      <c r="W83" s="254">
        <f t="shared" si="9"/>
        <v>480929.32706257759</v>
      </c>
      <c r="X83" s="236">
        <f t="shared" si="10"/>
        <v>1078.316876821923</v>
      </c>
      <c r="Y83" s="255">
        <f t="shared" si="11"/>
        <v>0.31140626276998207</v>
      </c>
    </row>
    <row r="84" spans="1:25" x14ac:dyDescent="0.25">
      <c r="A84" s="111">
        <f>Données!A84</f>
        <v>5533</v>
      </c>
      <c r="B84" s="119" t="str">
        <f>Données!B84</f>
        <v>Poliez-Pittet</v>
      </c>
      <c r="C84" s="249">
        <f>Données!C84</f>
        <v>847</v>
      </c>
      <c r="D84" s="250">
        <f>Données!D84</f>
        <v>73</v>
      </c>
      <c r="E84" s="251">
        <f>Données!E84</f>
        <v>1</v>
      </c>
      <c r="F84" s="252">
        <f>Données!F84</f>
        <v>1780465.26</v>
      </c>
      <c r="G84" s="252">
        <f>Données!G84</f>
        <v>253087.61</v>
      </c>
      <c r="H84" s="252">
        <f>Données!H84</f>
        <v>93477.25</v>
      </c>
      <c r="I84" s="252">
        <f>Données!I84</f>
        <v>5581.85</v>
      </c>
      <c r="J84" s="252">
        <f>Données!J84</f>
        <v>0</v>
      </c>
      <c r="K84" s="252">
        <f>Données!K84</f>
        <v>258.41000000000003</v>
      </c>
      <c r="L84" s="252">
        <f>Données!L84</f>
        <v>-15460.01</v>
      </c>
      <c r="M84" s="252">
        <f>Données!M84</f>
        <v>0</v>
      </c>
      <c r="N84" s="252">
        <f>Données!N84</f>
        <v>9003.48</v>
      </c>
      <c r="O84" s="252">
        <f>Données!O84</f>
        <v>170028.35</v>
      </c>
      <c r="P84" s="252">
        <f>Données!P84</f>
        <v>58419.72</v>
      </c>
      <c r="Q84" s="252">
        <f>Données!Q84</f>
        <v>9481.15</v>
      </c>
      <c r="R84" s="252">
        <f>Données!R84</f>
        <v>-261.39999999999998</v>
      </c>
      <c r="S84" s="244"/>
      <c r="T84" s="236">
        <f t="shared" si="6"/>
        <v>1960777.1690787573</v>
      </c>
      <c r="U84" s="253">
        <f t="shared" si="7"/>
        <v>170028.35</v>
      </c>
      <c r="V84" s="253">
        <f t="shared" si="8"/>
        <v>67639.47</v>
      </c>
      <c r="W84" s="254">
        <f t="shared" si="9"/>
        <v>2198444.9890787574</v>
      </c>
      <c r="X84" s="236">
        <f t="shared" si="10"/>
        <v>2595.5666931272222</v>
      </c>
      <c r="Y84" s="255">
        <f t="shared" si="11"/>
        <v>0.74957161577511933</v>
      </c>
    </row>
    <row r="85" spans="1:25" x14ac:dyDescent="0.25">
      <c r="A85" s="111">
        <f>Données!A85</f>
        <v>5534</v>
      </c>
      <c r="B85" s="119" t="str">
        <f>Données!B85</f>
        <v>Rueyres</v>
      </c>
      <c r="C85" s="249">
        <f>Données!C85</f>
        <v>302</v>
      </c>
      <c r="D85" s="250">
        <f>Données!D85</f>
        <v>73</v>
      </c>
      <c r="E85" s="251">
        <f>Données!E85</f>
        <v>1</v>
      </c>
      <c r="F85" s="252">
        <f>Données!F85</f>
        <v>548447.9</v>
      </c>
      <c r="G85" s="252">
        <f>Données!G85</f>
        <v>180307.49</v>
      </c>
      <c r="H85" s="252">
        <f>Données!H85</f>
        <v>68938.45</v>
      </c>
      <c r="I85" s="252">
        <f>Données!I85</f>
        <v>6141.85</v>
      </c>
      <c r="J85" s="252">
        <f>Données!J85</f>
        <v>0</v>
      </c>
      <c r="K85" s="252">
        <f>Données!K85</f>
        <v>693.83</v>
      </c>
      <c r="L85" s="252">
        <f>Données!L85</f>
        <v>-2596.0100000000002</v>
      </c>
      <c r="M85" s="252">
        <f>Données!M85</f>
        <v>0</v>
      </c>
      <c r="N85" s="252">
        <f>Données!N85</f>
        <v>6989.87</v>
      </c>
      <c r="O85" s="252">
        <f>Données!O85</f>
        <v>87066.5</v>
      </c>
      <c r="P85" s="252">
        <f>Données!P85</f>
        <v>-327.66000000000003</v>
      </c>
      <c r="Q85" s="252">
        <f>Données!Q85</f>
        <v>864.3</v>
      </c>
      <c r="R85" s="252">
        <f>Données!R85</f>
        <v>-31.15</v>
      </c>
      <c r="S85" s="244"/>
      <c r="T85" s="236">
        <f t="shared" si="6"/>
        <v>745912.41730203142</v>
      </c>
      <c r="U85" s="253">
        <f t="shared" si="7"/>
        <v>87066.5</v>
      </c>
      <c r="V85" s="253">
        <f t="shared" si="8"/>
        <v>505.4899999999999</v>
      </c>
      <c r="W85" s="254">
        <f t="shared" si="9"/>
        <v>833484.40730203141</v>
      </c>
      <c r="X85" s="236">
        <f t="shared" si="10"/>
        <v>2759.8821433842099</v>
      </c>
      <c r="Y85" s="255">
        <f t="shared" si="11"/>
        <v>0.7970241423744463</v>
      </c>
    </row>
    <row r="86" spans="1:25" x14ac:dyDescent="0.25">
      <c r="A86" s="111">
        <f>Données!A86</f>
        <v>5535</v>
      </c>
      <c r="B86" s="119" t="str">
        <f>Données!B86</f>
        <v>Saint-Barthélemy</v>
      </c>
      <c r="C86" s="249">
        <f>Données!C86</f>
        <v>838</v>
      </c>
      <c r="D86" s="250">
        <f>Données!D86</f>
        <v>75</v>
      </c>
      <c r="E86" s="251">
        <f>Données!E86</f>
        <v>1</v>
      </c>
      <c r="F86" s="252">
        <f>Données!F86</f>
        <v>1510821.79</v>
      </c>
      <c r="G86" s="252">
        <f>Données!G86</f>
        <v>256417.59</v>
      </c>
      <c r="H86" s="252">
        <f>Données!H86</f>
        <v>12705.8</v>
      </c>
      <c r="I86" s="252">
        <f>Données!I86</f>
        <v>1388.95</v>
      </c>
      <c r="J86" s="252">
        <f>Données!J86</f>
        <v>0</v>
      </c>
      <c r="K86" s="252">
        <f>Données!K86</f>
        <v>524.71</v>
      </c>
      <c r="L86" s="252">
        <f>Données!L86</f>
        <v>-8194.02</v>
      </c>
      <c r="M86" s="252">
        <f>Données!M86</f>
        <v>0</v>
      </c>
      <c r="N86" s="252">
        <f>Données!N86</f>
        <v>1312.2</v>
      </c>
      <c r="O86" s="252">
        <f>Données!O86</f>
        <v>160725.20000000001</v>
      </c>
      <c r="P86" s="252">
        <f>Données!P86</f>
        <v>7324.16</v>
      </c>
      <c r="Q86" s="252">
        <f>Données!Q86</f>
        <v>1739.3</v>
      </c>
      <c r="R86" s="252">
        <f>Données!R86</f>
        <v>-656.7</v>
      </c>
      <c r="S86" s="244"/>
      <c r="T86" s="236">
        <f t="shared" si="6"/>
        <v>1593069.7115631101</v>
      </c>
      <c r="U86" s="253">
        <f t="shared" si="7"/>
        <v>160725.20000000001</v>
      </c>
      <c r="V86" s="253">
        <f t="shared" si="8"/>
        <v>8406.7599999999984</v>
      </c>
      <c r="W86" s="254">
        <f t="shared" si="9"/>
        <v>1762201.6715631101</v>
      </c>
      <c r="X86" s="236">
        <f t="shared" si="10"/>
        <v>2102.8659565192243</v>
      </c>
      <c r="Y86" s="255">
        <f t="shared" si="11"/>
        <v>0.60728496669353227</v>
      </c>
    </row>
    <row r="87" spans="1:25" x14ac:dyDescent="0.25">
      <c r="A87" s="111">
        <f>Données!A87</f>
        <v>5537</v>
      </c>
      <c r="B87" s="119" t="str">
        <f>Données!B87</f>
        <v>Villars-le-Terroir</v>
      </c>
      <c r="C87" s="249">
        <f>Données!C87</f>
        <v>1334</v>
      </c>
      <c r="D87" s="250">
        <f>Données!D87</f>
        <v>76</v>
      </c>
      <c r="E87" s="251">
        <f>Données!E87</f>
        <v>1</v>
      </c>
      <c r="F87" s="252">
        <f>Données!F87</f>
        <v>2416515.2400000002</v>
      </c>
      <c r="G87" s="252">
        <f>Données!G87</f>
        <v>301003.55</v>
      </c>
      <c r="H87" s="252">
        <f>Données!H87</f>
        <v>64257.65</v>
      </c>
      <c r="I87" s="252">
        <f>Données!I87</f>
        <v>2388.85</v>
      </c>
      <c r="J87" s="252">
        <f>Données!J87</f>
        <v>0</v>
      </c>
      <c r="K87" s="252">
        <f>Données!K87</f>
        <v>0</v>
      </c>
      <c r="L87" s="252">
        <f>Données!L87</f>
        <v>-19313.62</v>
      </c>
      <c r="M87" s="252">
        <f>Données!M87</f>
        <v>0</v>
      </c>
      <c r="N87" s="252">
        <f>Données!N87</f>
        <v>6204.7</v>
      </c>
      <c r="O87" s="252">
        <f>Données!O87</f>
        <v>269453.5</v>
      </c>
      <c r="P87" s="252">
        <f>Données!P87</f>
        <v>44416.3</v>
      </c>
      <c r="Q87" s="252">
        <f>Données!Q87</f>
        <v>6968.25</v>
      </c>
      <c r="R87" s="252">
        <f>Données!R87</f>
        <v>-425.45</v>
      </c>
      <c r="S87" s="244"/>
      <c r="T87" s="236">
        <f t="shared" si="6"/>
        <v>2454341.989364522</v>
      </c>
      <c r="U87" s="253">
        <f t="shared" si="7"/>
        <v>269453.5</v>
      </c>
      <c r="V87" s="253">
        <f t="shared" si="8"/>
        <v>50959.100000000006</v>
      </c>
      <c r="W87" s="254">
        <f t="shared" si="9"/>
        <v>2774754.5893645221</v>
      </c>
      <c r="X87" s="236">
        <f t="shared" si="10"/>
        <v>2080.0259290588619</v>
      </c>
      <c r="Y87" s="255">
        <f t="shared" si="11"/>
        <v>0.60068901355037296</v>
      </c>
    </row>
    <row r="88" spans="1:25" x14ac:dyDescent="0.25">
      <c r="A88" s="111">
        <f>Données!A88</f>
        <v>5539</v>
      </c>
      <c r="B88" s="119" t="str">
        <f>Données!B88</f>
        <v>Vuarrens</v>
      </c>
      <c r="C88" s="249">
        <f>Données!C88</f>
        <v>1113</v>
      </c>
      <c r="D88" s="250">
        <f>Données!D88</f>
        <v>73.5</v>
      </c>
      <c r="E88" s="251">
        <f>Données!E88</f>
        <v>0.8</v>
      </c>
      <c r="F88" s="252">
        <f>Données!F88</f>
        <v>2248982.73</v>
      </c>
      <c r="G88" s="252">
        <f>Données!G88</f>
        <v>260147.45</v>
      </c>
      <c r="H88" s="252">
        <f>Données!H88</f>
        <v>22504.15</v>
      </c>
      <c r="I88" s="252">
        <f>Données!I88</f>
        <v>2433.65</v>
      </c>
      <c r="J88" s="252">
        <f>Données!J88</f>
        <v>0</v>
      </c>
      <c r="K88" s="252">
        <f>Données!K88</f>
        <v>4212.42</v>
      </c>
      <c r="L88" s="252">
        <f>Données!L88</f>
        <v>-52485.43</v>
      </c>
      <c r="M88" s="252">
        <f>Données!M88</f>
        <v>0</v>
      </c>
      <c r="N88" s="252">
        <f>Données!N88</f>
        <v>2321.67</v>
      </c>
      <c r="O88" s="252">
        <f>Données!O88</f>
        <v>189543.55</v>
      </c>
      <c r="P88" s="252">
        <f>Données!P88</f>
        <v>31897.75</v>
      </c>
      <c r="Q88" s="252">
        <f>Données!Q88</f>
        <v>6636.2</v>
      </c>
      <c r="R88" s="252">
        <f>Données!R88</f>
        <v>-137.80000000000001</v>
      </c>
      <c r="S88" s="244"/>
      <c r="T88" s="236">
        <f t="shared" si="6"/>
        <v>2278697.6574894506</v>
      </c>
      <c r="U88" s="253">
        <f t="shared" si="7"/>
        <v>236929.43749999997</v>
      </c>
      <c r="V88" s="253">
        <f t="shared" si="8"/>
        <v>38396.149999999994</v>
      </c>
      <c r="W88" s="254">
        <f t="shared" si="9"/>
        <v>2554023.2449894506</v>
      </c>
      <c r="X88" s="236">
        <f t="shared" si="10"/>
        <v>2294.7198966661731</v>
      </c>
      <c r="Y88" s="255">
        <f t="shared" si="11"/>
        <v>0.66269031161861547</v>
      </c>
    </row>
    <row r="89" spans="1:25" x14ac:dyDescent="0.25">
      <c r="A89" s="111">
        <f>Données!A89</f>
        <v>5540</v>
      </c>
      <c r="B89" s="119" t="str">
        <f>Données!B89</f>
        <v>Montilliez</v>
      </c>
      <c r="C89" s="249">
        <f>Données!C89</f>
        <v>1856</v>
      </c>
      <c r="D89" s="250">
        <f>Données!D89</f>
        <v>72.5</v>
      </c>
      <c r="E89" s="251">
        <f>Données!E89</f>
        <v>0.8</v>
      </c>
      <c r="F89" s="252">
        <f>Données!F89</f>
        <v>3579808.07</v>
      </c>
      <c r="G89" s="252">
        <f>Données!G89</f>
        <v>622619.18999999994</v>
      </c>
      <c r="H89" s="252">
        <f>Données!H89</f>
        <v>140218.70000000001</v>
      </c>
      <c r="I89" s="252">
        <f>Données!I89</f>
        <v>10031.200000000001</v>
      </c>
      <c r="J89" s="252">
        <f>Données!J89</f>
        <v>0</v>
      </c>
      <c r="K89" s="252">
        <f>Données!K89</f>
        <v>14407.62</v>
      </c>
      <c r="L89" s="252">
        <f>Données!L89</f>
        <v>-89187.58</v>
      </c>
      <c r="M89" s="252">
        <f>Données!M89</f>
        <v>0</v>
      </c>
      <c r="N89" s="252">
        <f>Données!N89</f>
        <v>13988.05</v>
      </c>
      <c r="O89" s="252">
        <f>Données!O89</f>
        <v>302081.34999999998</v>
      </c>
      <c r="P89" s="252">
        <f>Données!P89</f>
        <v>72824.94</v>
      </c>
      <c r="Q89" s="252">
        <f>Données!Q89</f>
        <v>14558.5</v>
      </c>
      <c r="R89" s="252">
        <f>Données!R89</f>
        <v>-1075.05</v>
      </c>
      <c r="S89" s="244"/>
      <c r="T89" s="236">
        <f t="shared" si="6"/>
        <v>3984863.0890887589</v>
      </c>
      <c r="U89" s="253">
        <f t="shared" si="7"/>
        <v>377601.68749999994</v>
      </c>
      <c r="V89" s="253">
        <f t="shared" si="8"/>
        <v>86308.39</v>
      </c>
      <c r="W89" s="254">
        <f t="shared" si="9"/>
        <v>4448773.1665887581</v>
      </c>
      <c r="X89" s="236">
        <f t="shared" si="10"/>
        <v>2396.9683009637706</v>
      </c>
      <c r="Y89" s="255">
        <f t="shared" si="11"/>
        <v>0.69221854598173893</v>
      </c>
    </row>
    <row r="90" spans="1:25" x14ac:dyDescent="0.25">
      <c r="A90" s="111">
        <f>Données!A90</f>
        <v>5541</v>
      </c>
      <c r="B90" s="119" t="str">
        <f>Données!B90</f>
        <v>Goumoëns</v>
      </c>
      <c r="C90" s="249">
        <f>Données!C90</f>
        <v>1251</v>
      </c>
      <c r="D90" s="250">
        <f>Données!D90</f>
        <v>75.5</v>
      </c>
      <c r="E90" s="251">
        <f>Données!E90</f>
        <v>1</v>
      </c>
      <c r="F90" s="252">
        <f>Données!F90</f>
        <v>2414355.35</v>
      </c>
      <c r="G90" s="252">
        <f>Données!G90</f>
        <v>354041.17</v>
      </c>
      <c r="H90" s="252">
        <f>Données!H90</f>
        <v>8042.45</v>
      </c>
      <c r="I90" s="252">
        <f>Données!I90</f>
        <v>7852.7</v>
      </c>
      <c r="J90" s="252">
        <f>Données!J90</f>
        <v>0</v>
      </c>
      <c r="K90" s="252">
        <f>Données!K90</f>
        <v>46596.97</v>
      </c>
      <c r="L90" s="252">
        <f>Données!L90</f>
        <v>-35357.050000000003</v>
      </c>
      <c r="M90" s="252">
        <f>Données!M90</f>
        <v>0</v>
      </c>
      <c r="N90" s="252">
        <f>Données!N90</f>
        <v>1479.82</v>
      </c>
      <c r="O90" s="252">
        <f>Données!O90</f>
        <v>249469.35</v>
      </c>
      <c r="P90" s="252">
        <f>Données!P90</f>
        <v>37470.28</v>
      </c>
      <c r="Q90" s="252">
        <f>Données!Q90</f>
        <v>4053.95</v>
      </c>
      <c r="R90" s="252">
        <f>Données!R90</f>
        <v>-150.15</v>
      </c>
      <c r="S90" s="244"/>
      <c r="T90" s="236">
        <f t="shared" si="6"/>
        <v>2493736.6933739972</v>
      </c>
      <c r="U90" s="253">
        <f t="shared" si="7"/>
        <v>249469.35</v>
      </c>
      <c r="V90" s="253">
        <f t="shared" si="8"/>
        <v>41374.079999999994</v>
      </c>
      <c r="W90" s="254">
        <f t="shared" si="9"/>
        <v>2784580.1233739974</v>
      </c>
      <c r="X90" s="236">
        <f t="shared" si="10"/>
        <v>2225.8833919856093</v>
      </c>
      <c r="Y90" s="255">
        <f t="shared" si="11"/>
        <v>0.64281107284800432</v>
      </c>
    </row>
    <row r="91" spans="1:25" x14ac:dyDescent="0.25">
      <c r="A91" s="111">
        <f>Données!A91</f>
        <v>5551</v>
      </c>
      <c r="B91" s="119" t="str">
        <f>Données!B91</f>
        <v>Bonvillars</v>
      </c>
      <c r="C91" s="249">
        <f>Données!C91</f>
        <v>517</v>
      </c>
      <c r="D91" s="250">
        <f>Données!D91</f>
        <v>67</v>
      </c>
      <c r="E91" s="251">
        <f>Données!E91</f>
        <v>1</v>
      </c>
      <c r="F91" s="252">
        <f>Données!F91</f>
        <v>960154.15</v>
      </c>
      <c r="G91" s="252">
        <f>Données!G91</f>
        <v>194502.16</v>
      </c>
      <c r="H91" s="252">
        <f>Données!H91</f>
        <v>127950.65</v>
      </c>
      <c r="I91" s="252">
        <f>Données!I91</f>
        <v>36890.25</v>
      </c>
      <c r="J91" s="252">
        <f>Données!J91</f>
        <v>0</v>
      </c>
      <c r="K91" s="252">
        <f>Données!K91</f>
        <v>0</v>
      </c>
      <c r="L91" s="252">
        <f>Données!L91</f>
        <v>-7203.65</v>
      </c>
      <c r="M91" s="252">
        <f>Données!M91</f>
        <v>0</v>
      </c>
      <c r="N91" s="252">
        <f>Données!N91</f>
        <v>15346.46</v>
      </c>
      <c r="O91" s="252">
        <f>Données!O91</f>
        <v>126860.35</v>
      </c>
      <c r="P91" s="252">
        <f>Données!P91</f>
        <v>3448.6</v>
      </c>
      <c r="Q91" s="252">
        <f>Données!Q91</f>
        <v>12501.2</v>
      </c>
      <c r="R91" s="252">
        <f>Données!R91</f>
        <v>-91.5</v>
      </c>
      <c r="S91" s="244"/>
      <c r="T91" s="236">
        <f t="shared" si="6"/>
        <v>1333855.6776397796</v>
      </c>
      <c r="U91" s="253">
        <f t="shared" si="7"/>
        <v>126860.35</v>
      </c>
      <c r="V91" s="253">
        <f t="shared" si="8"/>
        <v>15858.300000000001</v>
      </c>
      <c r="W91" s="254">
        <f t="shared" si="9"/>
        <v>1476574.3276397798</v>
      </c>
      <c r="X91" s="236">
        <f t="shared" si="10"/>
        <v>2856.0431869241388</v>
      </c>
      <c r="Y91" s="255">
        <f t="shared" si="11"/>
        <v>0.82479441272492693</v>
      </c>
    </row>
    <row r="92" spans="1:25" x14ac:dyDescent="0.25">
      <c r="A92" s="111">
        <f>Données!A92</f>
        <v>5552</v>
      </c>
      <c r="B92" s="119" t="str">
        <f>Données!B92</f>
        <v>Bullet</v>
      </c>
      <c r="C92" s="249">
        <f>Données!C92</f>
        <v>687</v>
      </c>
      <c r="D92" s="250">
        <f>Données!D92</f>
        <v>72</v>
      </c>
      <c r="E92" s="251">
        <f>Données!E92</f>
        <v>1</v>
      </c>
      <c r="F92" s="252">
        <f>Données!F92</f>
        <v>997084.03</v>
      </c>
      <c r="G92" s="252">
        <f>Données!G92</f>
        <v>276876.31</v>
      </c>
      <c r="H92" s="252">
        <f>Données!H92</f>
        <v>59284.5</v>
      </c>
      <c r="I92" s="252">
        <f>Données!I92</f>
        <v>2709.9</v>
      </c>
      <c r="J92" s="252">
        <f>Données!J92</f>
        <v>0</v>
      </c>
      <c r="K92" s="252">
        <f>Données!K92</f>
        <v>12855.69</v>
      </c>
      <c r="L92" s="252">
        <f>Données!L92</f>
        <v>-51036.86</v>
      </c>
      <c r="M92" s="252">
        <f>Données!M92</f>
        <v>0</v>
      </c>
      <c r="N92" s="252">
        <f>Données!N92</f>
        <v>5771.59</v>
      </c>
      <c r="O92" s="252">
        <f>Données!O92</f>
        <v>146632.15</v>
      </c>
      <c r="P92" s="252">
        <f>Données!P92</f>
        <v>18429.05</v>
      </c>
      <c r="Q92" s="252">
        <f>Données!Q92</f>
        <v>-679.35</v>
      </c>
      <c r="R92" s="252">
        <f>Données!R92</f>
        <v>-479.7</v>
      </c>
      <c r="S92" s="244"/>
      <c r="T92" s="236">
        <f t="shared" si="6"/>
        <v>1218700.233305631</v>
      </c>
      <c r="U92" s="253">
        <f t="shared" si="7"/>
        <v>146632.15</v>
      </c>
      <c r="V92" s="253">
        <f t="shared" si="8"/>
        <v>17270</v>
      </c>
      <c r="W92" s="254">
        <f t="shared" si="9"/>
        <v>1382602.3833056309</v>
      </c>
      <c r="X92" s="236">
        <f t="shared" si="10"/>
        <v>2012.5216642003361</v>
      </c>
      <c r="Y92" s="255">
        <f t="shared" si="11"/>
        <v>0.58119451124546284</v>
      </c>
    </row>
    <row r="93" spans="1:25" x14ac:dyDescent="0.25">
      <c r="A93" s="111">
        <f>Données!A93</f>
        <v>5553</v>
      </c>
      <c r="B93" s="119" t="str">
        <f>Données!B93</f>
        <v>Champagne</v>
      </c>
      <c r="C93" s="249">
        <f>Données!C93</f>
        <v>1087</v>
      </c>
      <c r="D93" s="250">
        <f>Données!D93</f>
        <v>65</v>
      </c>
      <c r="E93" s="251">
        <f>Données!E93</f>
        <v>1</v>
      </c>
      <c r="F93" s="252">
        <f>Données!F93</f>
        <v>1803309.09</v>
      </c>
      <c r="G93" s="252">
        <f>Données!G93</f>
        <v>398433.63</v>
      </c>
      <c r="H93" s="252">
        <f>Données!H93</f>
        <v>293014.75</v>
      </c>
      <c r="I93" s="252">
        <f>Données!I93</f>
        <v>-2288.6</v>
      </c>
      <c r="J93" s="252">
        <f>Données!J93</f>
        <v>0</v>
      </c>
      <c r="K93" s="252">
        <f>Données!K93</f>
        <v>1651.92</v>
      </c>
      <c r="L93" s="252">
        <f>Données!L93</f>
        <v>-14610.8</v>
      </c>
      <c r="M93" s="252">
        <f>Données!M93</f>
        <v>0</v>
      </c>
      <c r="N93" s="252">
        <f>Données!N93</f>
        <v>27066.2</v>
      </c>
      <c r="O93" s="252">
        <f>Données!O93</f>
        <v>260645.75</v>
      </c>
      <c r="P93" s="252">
        <f>Données!P93</f>
        <v>30516.57</v>
      </c>
      <c r="Q93" s="252">
        <f>Données!Q93</f>
        <v>38097.050000000003</v>
      </c>
      <c r="R93" s="252">
        <f>Données!R93</f>
        <v>-3250.35</v>
      </c>
      <c r="S93" s="244"/>
      <c r="T93" s="236">
        <f t="shared" si="6"/>
        <v>2595797.8153349194</v>
      </c>
      <c r="U93" s="253">
        <f t="shared" si="7"/>
        <v>260645.75</v>
      </c>
      <c r="V93" s="253">
        <f t="shared" si="8"/>
        <v>65363.27</v>
      </c>
      <c r="W93" s="254">
        <f t="shared" si="9"/>
        <v>2921806.8353349194</v>
      </c>
      <c r="X93" s="236">
        <f t="shared" si="10"/>
        <v>2687.954770317313</v>
      </c>
      <c r="Y93" s="255">
        <f t="shared" si="11"/>
        <v>0.77625229421081632</v>
      </c>
    </row>
    <row r="94" spans="1:25" x14ac:dyDescent="0.25">
      <c r="A94" s="111">
        <f>Données!A94</f>
        <v>5554</v>
      </c>
      <c r="B94" s="119" t="str">
        <f>Données!B94</f>
        <v>Concise</v>
      </c>
      <c r="C94" s="249">
        <f>Données!C94</f>
        <v>1035</v>
      </c>
      <c r="D94" s="250">
        <f>Données!D94</f>
        <v>69</v>
      </c>
      <c r="E94" s="251">
        <f>Données!E94</f>
        <v>1</v>
      </c>
      <c r="F94" s="252">
        <f>Données!F94</f>
        <v>1840846.1</v>
      </c>
      <c r="G94" s="252">
        <f>Données!G94</f>
        <v>314055.2</v>
      </c>
      <c r="H94" s="252">
        <f>Données!H94</f>
        <v>-14801.6</v>
      </c>
      <c r="I94" s="252">
        <f>Données!I94</f>
        <v>2306.15</v>
      </c>
      <c r="J94" s="252">
        <f>Données!J94</f>
        <v>0</v>
      </c>
      <c r="K94" s="252">
        <f>Données!K94</f>
        <v>26872.85</v>
      </c>
      <c r="L94" s="252">
        <f>Données!L94</f>
        <v>-23344.85</v>
      </c>
      <c r="M94" s="252">
        <f>Données!M94</f>
        <v>0</v>
      </c>
      <c r="N94" s="252">
        <f>Données!N94</f>
        <v>-1163.31</v>
      </c>
      <c r="O94" s="252">
        <f>Données!O94</f>
        <v>203467.1</v>
      </c>
      <c r="P94" s="252">
        <f>Données!P94</f>
        <v>35538.03</v>
      </c>
      <c r="Q94" s="252">
        <f>Données!Q94</f>
        <v>5308</v>
      </c>
      <c r="R94" s="252">
        <f>Données!R94</f>
        <v>-2232.1</v>
      </c>
      <c r="S94" s="244"/>
      <c r="T94" s="236">
        <f t="shared" si="6"/>
        <v>2092353.4728885724</v>
      </c>
      <c r="U94" s="253">
        <f t="shared" si="7"/>
        <v>203467.1</v>
      </c>
      <c r="V94" s="253">
        <f t="shared" si="8"/>
        <v>38613.93</v>
      </c>
      <c r="W94" s="254">
        <f t="shared" si="9"/>
        <v>2334434.5028885724</v>
      </c>
      <c r="X94" s="236">
        <f t="shared" si="10"/>
        <v>2255.492273322292</v>
      </c>
      <c r="Y94" s="255">
        <f t="shared" si="11"/>
        <v>0.65136179785291293</v>
      </c>
    </row>
    <row r="95" spans="1:25" x14ac:dyDescent="0.25">
      <c r="A95" s="111">
        <f>Données!A95</f>
        <v>5555</v>
      </c>
      <c r="B95" s="119" t="str">
        <f>Données!B95</f>
        <v>Corcelles-près-Concise</v>
      </c>
      <c r="C95" s="249">
        <f>Données!C95</f>
        <v>439</v>
      </c>
      <c r="D95" s="250">
        <f>Données!D95</f>
        <v>69</v>
      </c>
      <c r="E95" s="251">
        <f>Données!E95</f>
        <v>1</v>
      </c>
      <c r="F95" s="252">
        <f>Données!F95</f>
        <v>750376.85</v>
      </c>
      <c r="G95" s="252">
        <f>Données!G95</f>
        <v>186079.15</v>
      </c>
      <c r="H95" s="252">
        <f>Données!H95</f>
        <v>10110.35</v>
      </c>
      <c r="I95" s="252">
        <f>Données!I95</f>
        <v>26035.1</v>
      </c>
      <c r="J95" s="252">
        <f>Données!J95</f>
        <v>0</v>
      </c>
      <c r="K95" s="252">
        <f>Données!K95</f>
        <v>58.02</v>
      </c>
      <c r="L95" s="252">
        <f>Données!L95</f>
        <v>-15066.97</v>
      </c>
      <c r="M95" s="252">
        <f>Données!M95</f>
        <v>0</v>
      </c>
      <c r="N95" s="252">
        <f>Données!N95</f>
        <v>3365.09</v>
      </c>
      <c r="O95" s="252">
        <f>Données!O95</f>
        <v>102725.45</v>
      </c>
      <c r="P95" s="252">
        <f>Données!P95</f>
        <v>10901.46</v>
      </c>
      <c r="Q95" s="252">
        <f>Données!Q95</f>
        <v>2186.3000000000002</v>
      </c>
      <c r="R95" s="252">
        <f>Données!R95</f>
        <v>-1579.9</v>
      </c>
      <c r="S95" s="244"/>
      <c r="T95" s="236">
        <f t="shared" si="6"/>
        <v>937472.2905020566</v>
      </c>
      <c r="U95" s="253">
        <f t="shared" si="7"/>
        <v>102725.45</v>
      </c>
      <c r="V95" s="253">
        <f t="shared" si="8"/>
        <v>11507.859999999999</v>
      </c>
      <c r="W95" s="254">
        <f t="shared" si="9"/>
        <v>1051705.6005020565</v>
      </c>
      <c r="X95" s="236">
        <f t="shared" si="10"/>
        <v>2395.6847391846391</v>
      </c>
      <c r="Y95" s="255">
        <f t="shared" si="11"/>
        <v>0.69184786720886116</v>
      </c>
    </row>
    <row r="96" spans="1:25" x14ac:dyDescent="0.25">
      <c r="A96" s="111">
        <f>Données!A96</f>
        <v>5556</v>
      </c>
      <c r="B96" s="119" t="str">
        <f>Données!B96</f>
        <v>Fiez</v>
      </c>
      <c r="C96" s="249">
        <f>Données!C96</f>
        <v>421</v>
      </c>
      <c r="D96" s="250">
        <f>Données!D96</f>
        <v>69</v>
      </c>
      <c r="E96" s="251">
        <f>Données!E96</f>
        <v>1.2</v>
      </c>
      <c r="F96" s="252">
        <f>Données!F96</f>
        <v>790161.76</v>
      </c>
      <c r="G96" s="252">
        <f>Données!G96</f>
        <v>78917.08</v>
      </c>
      <c r="H96" s="252">
        <f>Données!H96</f>
        <v>31680.400000000001</v>
      </c>
      <c r="I96" s="252">
        <f>Données!I96</f>
        <v>847.5</v>
      </c>
      <c r="J96" s="252">
        <f>Données!J96</f>
        <v>0</v>
      </c>
      <c r="K96" s="252">
        <f>Données!K96</f>
        <v>0</v>
      </c>
      <c r="L96" s="252">
        <f>Données!L96</f>
        <v>-164.38</v>
      </c>
      <c r="M96" s="252">
        <f>Données!M96</f>
        <v>0</v>
      </c>
      <c r="N96" s="252">
        <f>Données!N96</f>
        <v>3028.3</v>
      </c>
      <c r="O96" s="252">
        <f>Données!O96</f>
        <v>94938.84</v>
      </c>
      <c r="P96" s="252">
        <f>Données!P96</f>
        <v>3331.16</v>
      </c>
      <c r="Q96" s="252">
        <f>Données!Q96</f>
        <v>2161.65</v>
      </c>
      <c r="R96" s="252">
        <f>Données!R96</f>
        <v>-24.25</v>
      </c>
      <c r="S96" s="244"/>
      <c r="T96" s="236">
        <f t="shared" si="6"/>
        <v>882365.8714450727</v>
      </c>
      <c r="U96" s="253">
        <f t="shared" si="7"/>
        <v>79115.7</v>
      </c>
      <c r="V96" s="253">
        <f t="shared" si="8"/>
        <v>5468.5599999999995</v>
      </c>
      <c r="W96" s="254">
        <f t="shared" si="9"/>
        <v>966950.13144507271</v>
      </c>
      <c r="X96" s="236">
        <f t="shared" si="10"/>
        <v>2296.7936613897214</v>
      </c>
      <c r="Y96" s="255">
        <f t="shared" si="11"/>
        <v>0.66328919246366702</v>
      </c>
    </row>
    <row r="97" spans="1:25" x14ac:dyDescent="0.25">
      <c r="A97" s="111">
        <f>Données!A97</f>
        <v>5557</v>
      </c>
      <c r="B97" s="119" t="str">
        <f>Données!B97</f>
        <v>Fontaines-sur-Grandson</v>
      </c>
      <c r="C97" s="249">
        <f>Données!C97</f>
        <v>228</v>
      </c>
      <c r="D97" s="250">
        <f>Données!D97</f>
        <v>72</v>
      </c>
      <c r="E97" s="251">
        <f>Données!E97</f>
        <v>1</v>
      </c>
      <c r="F97" s="252">
        <f>Données!F97</f>
        <v>367279.58</v>
      </c>
      <c r="G97" s="252">
        <f>Données!G97</f>
        <v>51830.239999999998</v>
      </c>
      <c r="H97" s="252">
        <f>Données!H97</f>
        <v>45.800000000000097</v>
      </c>
      <c r="I97" s="252">
        <f>Données!I97</f>
        <v>873.95</v>
      </c>
      <c r="J97" s="252">
        <f>Données!J97</f>
        <v>0</v>
      </c>
      <c r="K97" s="252">
        <f>Données!K97</f>
        <v>2197.17</v>
      </c>
      <c r="L97" s="252">
        <f>Données!L97</f>
        <v>-5088.46</v>
      </c>
      <c r="M97" s="252">
        <f>Données!M97</f>
        <v>0</v>
      </c>
      <c r="N97" s="252">
        <f>Données!N97</f>
        <v>85.63</v>
      </c>
      <c r="O97" s="252">
        <f>Données!O97</f>
        <v>37920.300000000003</v>
      </c>
      <c r="P97" s="252">
        <f>Données!P97</f>
        <v>1445.7</v>
      </c>
      <c r="Q97" s="252">
        <f>Données!Q97</f>
        <v>892.45</v>
      </c>
      <c r="R97" s="252">
        <f>Données!R97</f>
        <v>-15.85</v>
      </c>
      <c r="S97" s="244"/>
      <c r="T97" s="236">
        <f t="shared" si="6"/>
        <v>390067.71077857213</v>
      </c>
      <c r="U97" s="253">
        <f t="shared" si="7"/>
        <v>37920.300000000003</v>
      </c>
      <c r="V97" s="253">
        <f t="shared" si="8"/>
        <v>2322.3000000000002</v>
      </c>
      <c r="W97" s="254">
        <f t="shared" si="9"/>
        <v>430310.31077857211</v>
      </c>
      <c r="X97" s="236">
        <f t="shared" si="10"/>
        <v>1887.3259244674216</v>
      </c>
      <c r="Y97" s="255">
        <f t="shared" si="11"/>
        <v>0.54503933435548013</v>
      </c>
    </row>
    <row r="98" spans="1:25" x14ac:dyDescent="0.25">
      <c r="A98" s="111">
        <f>Données!A98</f>
        <v>5559</v>
      </c>
      <c r="B98" s="119" t="str">
        <f>Données!B98</f>
        <v>Giez</v>
      </c>
      <c r="C98" s="249">
        <f>Données!C98</f>
        <v>464</v>
      </c>
      <c r="D98" s="250">
        <f>Données!D98</f>
        <v>68</v>
      </c>
      <c r="E98" s="251">
        <f>Données!E98</f>
        <v>1</v>
      </c>
      <c r="F98" s="252">
        <f>Données!F98</f>
        <v>912649.65</v>
      </c>
      <c r="G98" s="252">
        <f>Données!G98</f>
        <v>288586.46999999997</v>
      </c>
      <c r="H98" s="252">
        <f>Données!H98</f>
        <v>254755.75</v>
      </c>
      <c r="I98" s="252">
        <f>Données!I98</f>
        <v>10080.9</v>
      </c>
      <c r="J98" s="252">
        <f>Données!J98</f>
        <v>0</v>
      </c>
      <c r="K98" s="252">
        <f>Données!K98</f>
        <v>26224.27</v>
      </c>
      <c r="L98" s="252">
        <f>Données!L98</f>
        <v>-32332.51</v>
      </c>
      <c r="M98" s="252">
        <f>Données!M98</f>
        <v>0</v>
      </c>
      <c r="N98" s="252">
        <f>Données!N98</f>
        <v>24655.919999999998</v>
      </c>
      <c r="O98" s="252">
        <f>Données!O98</f>
        <v>103512.3</v>
      </c>
      <c r="P98" s="252">
        <f>Données!P98</f>
        <v>6804.45</v>
      </c>
      <c r="Q98" s="252">
        <f>Données!Q98</f>
        <v>4390</v>
      </c>
      <c r="R98" s="252">
        <f>Données!R98</f>
        <v>-311.05</v>
      </c>
      <c r="S98" s="244"/>
      <c r="T98" s="236">
        <f t="shared" si="6"/>
        <v>1469636.1799249777</v>
      </c>
      <c r="U98" s="253">
        <f t="shared" si="7"/>
        <v>103512.3</v>
      </c>
      <c r="V98" s="253">
        <f t="shared" si="8"/>
        <v>10883.400000000001</v>
      </c>
      <c r="W98" s="254">
        <f t="shared" si="9"/>
        <v>1584031.8799249777</v>
      </c>
      <c r="X98" s="236">
        <f t="shared" si="10"/>
        <v>3413.8618101831416</v>
      </c>
      <c r="Y98" s="255">
        <f t="shared" si="11"/>
        <v>0.98588640387000237</v>
      </c>
    </row>
    <row r="99" spans="1:25" x14ac:dyDescent="0.25">
      <c r="A99" s="111">
        <f>Données!A99</f>
        <v>5560</v>
      </c>
      <c r="B99" s="119" t="str">
        <f>Données!B99</f>
        <v>Grandevent</v>
      </c>
      <c r="C99" s="249">
        <f>Données!C99</f>
        <v>241</v>
      </c>
      <c r="D99" s="250">
        <f>Données!D99</f>
        <v>71</v>
      </c>
      <c r="E99" s="251">
        <f>Données!E99</f>
        <v>1</v>
      </c>
      <c r="F99" s="252">
        <f>Données!F99</f>
        <v>365444.09</v>
      </c>
      <c r="G99" s="252">
        <f>Données!G99</f>
        <v>67584.09</v>
      </c>
      <c r="H99" s="252">
        <f>Données!H99</f>
        <v>2921.5</v>
      </c>
      <c r="I99" s="252">
        <f>Données!I99</f>
        <v>1041.5</v>
      </c>
      <c r="J99" s="252">
        <f>Données!J99</f>
        <v>0</v>
      </c>
      <c r="K99" s="252">
        <f>Données!K99</f>
        <v>0</v>
      </c>
      <c r="L99" s="252">
        <f>Données!L99</f>
        <v>-7441.62</v>
      </c>
      <c r="M99" s="252">
        <f>Données!M99</f>
        <v>0</v>
      </c>
      <c r="N99" s="252">
        <f>Données!N99</f>
        <v>368.95</v>
      </c>
      <c r="O99" s="252">
        <f>Données!O99</f>
        <v>48741.7</v>
      </c>
      <c r="P99" s="252">
        <f>Données!P99</f>
        <v>-1894.24</v>
      </c>
      <c r="Q99" s="252">
        <f>Données!Q99</f>
        <v>0</v>
      </c>
      <c r="R99" s="252">
        <f>Données!R99</f>
        <v>0</v>
      </c>
      <c r="S99" s="244"/>
      <c r="T99" s="236">
        <f t="shared" si="6"/>
        <v>407597.11788459646</v>
      </c>
      <c r="U99" s="253">
        <f t="shared" si="7"/>
        <v>48741.7</v>
      </c>
      <c r="V99" s="253">
        <f t="shared" si="8"/>
        <v>-1894.24</v>
      </c>
      <c r="W99" s="254">
        <f t="shared" si="9"/>
        <v>454444.57788459648</v>
      </c>
      <c r="X99" s="236">
        <f t="shared" si="10"/>
        <v>1885.6621488987405</v>
      </c>
      <c r="Y99" s="255">
        <f t="shared" si="11"/>
        <v>0.54455885394840542</v>
      </c>
    </row>
    <row r="100" spans="1:25" x14ac:dyDescent="0.25">
      <c r="A100" s="111">
        <f>Données!A100</f>
        <v>5561</v>
      </c>
      <c r="B100" s="119" t="str">
        <f>Données!B100</f>
        <v>Grandson</v>
      </c>
      <c r="C100" s="249">
        <f>Données!C100</f>
        <v>3391</v>
      </c>
      <c r="D100" s="250">
        <f>Données!D100</f>
        <v>69</v>
      </c>
      <c r="E100" s="251">
        <f>Données!E100</f>
        <v>1</v>
      </c>
      <c r="F100" s="252">
        <f>Données!F100</f>
        <v>6859644.1600000001</v>
      </c>
      <c r="G100" s="252">
        <f>Données!G100</f>
        <v>1323048.03</v>
      </c>
      <c r="H100" s="252">
        <f>Données!H100</f>
        <v>300076.45</v>
      </c>
      <c r="I100" s="252">
        <f>Données!I100</f>
        <v>20846.5</v>
      </c>
      <c r="J100" s="252">
        <f>Données!J100</f>
        <v>0</v>
      </c>
      <c r="K100" s="252">
        <f>Données!K100</f>
        <v>29923.45</v>
      </c>
      <c r="L100" s="252">
        <f>Données!L100</f>
        <v>-167982.81</v>
      </c>
      <c r="M100" s="252">
        <f>Données!M100</f>
        <v>0</v>
      </c>
      <c r="N100" s="252">
        <f>Données!N100</f>
        <v>30743.29</v>
      </c>
      <c r="O100" s="252">
        <f>Données!O100</f>
        <v>714057.1</v>
      </c>
      <c r="P100" s="252">
        <f>Données!P100</f>
        <v>149055.43</v>
      </c>
      <c r="Q100" s="252">
        <f>Données!Q100</f>
        <v>49529.65</v>
      </c>
      <c r="R100" s="252">
        <f>Données!R100</f>
        <v>-46160.93</v>
      </c>
      <c r="S100" s="244"/>
      <c r="T100" s="236">
        <f t="shared" si="6"/>
        <v>8191097.9244080773</v>
      </c>
      <c r="U100" s="253">
        <f t="shared" si="7"/>
        <v>714057.1</v>
      </c>
      <c r="V100" s="253">
        <f t="shared" si="8"/>
        <v>152424.15</v>
      </c>
      <c r="W100" s="254">
        <f t="shared" si="9"/>
        <v>9057579.1744080782</v>
      </c>
      <c r="X100" s="236">
        <f t="shared" si="10"/>
        <v>2671.0643392533407</v>
      </c>
      <c r="Y100" s="255">
        <f t="shared" si="11"/>
        <v>0.77137452022131181</v>
      </c>
    </row>
    <row r="101" spans="1:25" x14ac:dyDescent="0.25">
      <c r="A101" s="111">
        <f>Données!A101</f>
        <v>5562</v>
      </c>
      <c r="B101" s="119" t="str">
        <f>Données!B101</f>
        <v>Mauborget</v>
      </c>
      <c r="C101" s="249">
        <f>Données!C101</f>
        <v>137</v>
      </c>
      <c r="D101" s="250">
        <f>Données!D101</f>
        <v>70</v>
      </c>
      <c r="E101" s="251">
        <f>Données!E101</f>
        <v>1.2</v>
      </c>
      <c r="F101" s="252">
        <f>Données!F101</f>
        <v>257166.82</v>
      </c>
      <c r="G101" s="252">
        <f>Données!G101</f>
        <v>119462.49</v>
      </c>
      <c r="H101" s="252">
        <f>Données!H101</f>
        <v>3572.2</v>
      </c>
      <c r="I101" s="252">
        <f>Données!I101</f>
        <v>1112.25</v>
      </c>
      <c r="J101" s="252">
        <f>Données!J101</f>
        <v>0</v>
      </c>
      <c r="K101" s="252">
        <f>Données!K101</f>
        <v>0</v>
      </c>
      <c r="L101" s="252">
        <f>Données!L101</f>
        <v>-7022.64</v>
      </c>
      <c r="M101" s="252">
        <f>Données!M101</f>
        <v>0</v>
      </c>
      <c r="N101" s="252">
        <f>Données!N101</f>
        <v>436.12</v>
      </c>
      <c r="O101" s="252">
        <f>Données!O101</f>
        <v>40173.5</v>
      </c>
      <c r="P101" s="252">
        <f>Données!P101</f>
        <v>4211.37</v>
      </c>
      <c r="Q101" s="252">
        <f>Données!Q101</f>
        <v>2039.5</v>
      </c>
      <c r="R101" s="252">
        <f>Données!R101</f>
        <v>-718.35</v>
      </c>
      <c r="S101" s="244"/>
      <c r="T101" s="236">
        <f t="shared" si="6"/>
        <v>360346.68703665026</v>
      </c>
      <c r="U101" s="253">
        <f t="shared" si="7"/>
        <v>33477.916666666672</v>
      </c>
      <c r="V101" s="253">
        <f t="shared" si="8"/>
        <v>5532.5199999999995</v>
      </c>
      <c r="W101" s="254">
        <f t="shared" si="9"/>
        <v>399357.12370331696</v>
      </c>
      <c r="X101" s="236">
        <f t="shared" si="10"/>
        <v>2915.0155014840652</v>
      </c>
      <c r="Y101" s="255">
        <f t="shared" si="11"/>
        <v>0.84182497997165961</v>
      </c>
    </row>
    <row r="102" spans="1:25" x14ac:dyDescent="0.25">
      <c r="A102" s="111">
        <f>Données!A102</f>
        <v>5563</v>
      </c>
      <c r="B102" s="119" t="str">
        <f>Données!B102</f>
        <v>Mutrux</v>
      </c>
      <c r="C102" s="249">
        <f>Données!C102</f>
        <v>138</v>
      </c>
      <c r="D102" s="250">
        <f>Données!D102</f>
        <v>80</v>
      </c>
      <c r="E102" s="251">
        <f>Données!E102</f>
        <v>1</v>
      </c>
      <c r="F102" s="252">
        <f>Données!F102</f>
        <v>224456.79</v>
      </c>
      <c r="G102" s="252">
        <f>Données!G102</f>
        <v>39024.959999999999</v>
      </c>
      <c r="H102" s="252">
        <f>Données!H102</f>
        <v>362.05</v>
      </c>
      <c r="I102" s="252">
        <f>Données!I102</f>
        <v>833.45</v>
      </c>
      <c r="J102" s="252">
        <f>Données!J102</f>
        <v>0</v>
      </c>
      <c r="K102" s="252">
        <f>Données!K102</f>
        <v>0</v>
      </c>
      <c r="L102" s="252">
        <f>Données!L102</f>
        <v>-50.7</v>
      </c>
      <c r="M102" s="252">
        <f>Données!M102</f>
        <v>0</v>
      </c>
      <c r="N102" s="252">
        <f>Données!N102</f>
        <v>111.3</v>
      </c>
      <c r="O102" s="252">
        <f>Données!O102</f>
        <v>24007.8</v>
      </c>
      <c r="P102" s="252">
        <f>Données!P102</f>
        <v>9939.6299999999992</v>
      </c>
      <c r="Q102" s="252">
        <f>Données!Q102</f>
        <v>0</v>
      </c>
      <c r="R102" s="252">
        <f>Données!R102</f>
        <v>0</v>
      </c>
      <c r="S102" s="244"/>
      <c r="T102" s="236">
        <f t="shared" si="6"/>
        <v>222755.97387346977</v>
      </c>
      <c r="U102" s="253">
        <f t="shared" si="7"/>
        <v>24007.8</v>
      </c>
      <c r="V102" s="253">
        <f t="shared" si="8"/>
        <v>9939.6299999999992</v>
      </c>
      <c r="W102" s="254">
        <f t="shared" si="9"/>
        <v>256703.40387346977</v>
      </c>
      <c r="X102" s="236">
        <f t="shared" si="10"/>
        <v>1860.1695932860127</v>
      </c>
      <c r="Y102" s="255">
        <f t="shared" si="11"/>
        <v>0.53719687933551385</v>
      </c>
    </row>
    <row r="103" spans="1:25" x14ac:dyDescent="0.25">
      <c r="A103" s="111">
        <f>Données!A103</f>
        <v>5564</v>
      </c>
      <c r="B103" s="119" t="str">
        <f>Données!B103</f>
        <v>Novalles</v>
      </c>
      <c r="C103" s="249">
        <f>Données!C103</f>
        <v>105</v>
      </c>
      <c r="D103" s="250">
        <f>Données!D103</f>
        <v>76</v>
      </c>
      <c r="E103" s="251">
        <f>Données!E103</f>
        <v>0.8</v>
      </c>
      <c r="F103" s="252">
        <f>Données!F103</f>
        <v>156020.5</v>
      </c>
      <c r="G103" s="252">
        <f>Données!G103</f>
        <v>13431.56</v>
      </c>
      <c r="H103" s="252">
        <f>Données!H103</f>
        <v>307.14999999999998</v>
      </c>
      <c r="I103" s="252">
        <f>Données!I103</f>
        <v>815.35</v>
      </c>
      <c r="J103" s="252">
        <f>Données!J103</f>
        <v>0</v>
      </c>
      <c r="K103" s="252">
        <f>Données!K103</f>
        <v>0</v>
      </c>
      <c r="L103" s="252">
        <f>Données!L103</f>
        <v>-158.06</v>
      </c>
      <c r="M103" s="252">
        <f>Données!M103</f>
        <v>0</v>
      </c>
      <c r="N103" s="252">
        <f>Données!N103</f>
        <v>104.5</v>
      </c>
      <c r="O103" s="252">
        <f>Données!O103</f>
        <v>12643.95</v>
      </c>
      <c r="P103" s="252">
        <f>Données!P103</f>
        <v>0</v>
      </c>
      <c r="Q103" s="252">
        <f>Données!Q103</f>
        <v>0</v>
      </c>
      <c r="R103" s="252">
        <f>Données!R103</f>
        <v>0</v>
      </c>
      <c r="S103" s="244"/>
      <c r="T103" s="236">
        <f t="shared" si="6"/>
        <v>151031.51812405305</v>
      </c>
      <c r="U103" s="253">
        <f t="shared" si="7"/>
        <v>15804.9375</v>
      </c>
      <c r="V103" s="253">
        <f t="shared" si="8"/>
        <v>0</v>
      </c>
      <c r="W103" s="254">
        <f t="shared" si="9"/>
        <v>166836.45562405305</v>
      </c>
      <c r="X103" s="236">
        <f t="shared" si="10"/>
        <v>1588.9186249909815</v>
      </c>
      <c r="Y103" s="255">
        <f t="shared" si="11"/>
        <v>0.45886253056927068</v>
      </c>
    </row>
    <row r="104" spans="1:25" x14ac:dyDescent="0.25">
      <c r="A104" s="111">
        <f>Données!A104</f>
        <v>5565</v>
      </c>
      <c r="B104" s="119" t="str">
        <f>Données!B104</f>
        <v>Onnens</v>
      </c>
      <c r="C104" s="249">
        <f>Données!C104</f>
        <v>527</v>
      </c>
      <c r="D104" s="250">
        <f>Données!D104</f>
        <v>65</v>
      </c>
      <c r="E104" s="251">
        <f>Données!E104</f>
        <v>1</v>
      </c>
      <c r="F104" s="252">
        <f>Données!F104</f>
        <v>777388.57</v>
      </c>
      <c r="G104" s="252">
        <f>Données!G104</f>
        <v>138066.45000000001</v>
      </c>
      <c r="H104" s="252">
        <f>Données!H104</f>
        <v>31777.5</v>
      </c>
      <c r="I104" s="252">
        <f>Données!I104</f>
        <v>31364.95</v>
      </c>
      <c r="J104" s="252">
        <f>Données!J104</f>
        <v>0</v>
      </c>
      <c r="K104" s="252">
        <f>Données!K104</f>
        <v>0</v>
      </c>
      <c r="L104" s="252">
        <f>Données!L104</f>
        <v>-2517.41</v>
      </c>
      <c r="M104" s="252">
        <f>Données!M104</f>
        <v>0</v>
      </c>
      <c r="N104" s="252">
        <f>Données!N104</f>
        <v>5878.47</v>
      </c>
      <c r="O104" s="252">
        <f>Données!O104</f>
        <v>138713.35</v>
      </c>
      <c r="P104" s="252">
        <f>Données!P104</f>
        <v>8970.86</v>
      </c>
      <c r="Q104" s="252">
        <f>Données!Q104</f>
        <v>22127.7</v>
      </c>
      <c r="R104" s="252">
        <f>Données!R104</f>
        <v>0</v>
      </c>
      <c r="S104" s="244"/>
      <c r="T104" s="236">
        <f t="shared" si="6"/>
        <v>1016911.3618379531</v>
      </c>
      <c r="U104" s="253">
        <f t="shared" si="7"/>
        <v>138713.35</v>
      </c>
      <c r="V104" s="253">
        <f t="shared" si="8"/>
        <v>31098.560000000001</v>
      </c>
      <c r="W104" s="254">
        <f t="shared" si="9"/>
        <v>1186723.2718379532</v>
      </c>
      <c r="X104" s="236">
        <f t="shared" si="10"/>
        <v>2251.8468156317899</v>
      </c>
      <c r="Y104" s="255">
        <f t="shared" si="11"/>
        <v>0.65030902906120946</v>
      </c>
    </row>
    <row r="105" spans="1:25" x14ac:dyDescent="0.25">
      <c r="A105" s="111">
        <f>Données!A105</f>
        <v>5566</v>
      </c>
      <c r="B105" s="119" t="str">
        <f>Données!B105</f>
        <v>Provence</v>
      </c>
      <c r="C105" s="249">
        <f>Données!C105</f>
        <v>421</v>
      </c>
      <c r="D105" s="250">
        <f>Données!D105</f>
        <v>81</v>
      </c>
      <c r="E105" s="251">
        <f>Données!E105</f>
        <v>1.5</v>
      </c>
      <c r="F105" s="252">
        <f>Données!F105</f>
        <v>637539.67000000004</v>
      </c>
      <c r="G105" s="252">
        <f>Données!G105</f>
        <v>84328.53</v>
      </c>
      <c r="H105" s="252">
        <f>Données!H105</f>
        <v>3745.45</v>
      </c>
      <c r="I105" s="252">
        <f>Données!I105</f>
        <v>4238.8</v>
      </c>
      <c r="J105" s="252">
        <f>Données!J105</f>
        <v>0</v>
      </c>
      <c r="K105" s="252">
        <f>Données!K105</f>
        <v>0</v>
      </c>
      <c r="L105" s="252">
        <f>Données!L105</f>
        <v>-5533.18</v>
      </c>
      <c r="M105" s="252">
        <f>Données!M105</f>
        <v>0</v>
      </c>
      <c r="N105" s="252">
        <f>Données!N105</f>
        <v>743.32</v>
      </c>
      <c r="O105" s="252">
        <f>Données!O105</f>
        <v>102433.9</v>
      </c>
      <c r="P105" s="252">
        <f>Données!P105</f>
        <v>34753.19</v>
      </c>
      <c r="Q105" s="252">
        <f>Données!Q105</f>
        <v>2126.9499999999998</v>
      </c>
      <c r="R105" s="252">
        <f>Données!R105</f>
        <v>0</v>
      </c>
      <c r="S105" s="244"/>
      <c r="T105" s="236">
        <f t="shared" si="6"/>
        <v>602550.96790163976</v>
      </c>
      <c r="U105" s="253">
        <f t="shared" si="7"/>
        <v>68289.266666666663</v>
      </c>
      <c r="V105" s="253">
        <f t="shared" si="8"/>
        <v>36880.14</v>
      </c>
      <c r="W105" s="254">
        <f t="shared" si="9"/>
        <v>707720.37456830649</v>
      </c>
      <c r="X105" s="236">
        <f t="shared" si="10"/>
        <v>1681.0460203522719</v>
      </c>
      <c r="Y105" s="255">
        <f t="shared" si="11"/>
        <v>0.48546792690948753</v>
      </c>
    </row>
    <row r="106" spans="1:25" x14ac:dyDescent="0.25">
      <c r="A106" s="111">
        <f>Données!A106</f>
        <v>5568</v>
      </c>
      <c r="B106" s="119" t="str">
        <f>Données!B106</f>
        <v>Sainte-Croix</v>
      </c>
      <c r="C106" s="249">
        <f>Données!C106</f>
        <v>5149</v>
      </c>
      <c r="D106" s="250">
        <f>Données!D106</f>
        <v>70</v>
      </c>
      <c r="E106" s="251">
        <f>Données!E106</f>
        <v>1</v>
      </c>
      <c r="F106" s="252">
        <f>Données!F106</f>
        <v>5955306.1600000001</v>
      </c>
      <c r="G106" s="252">
        <f>Données!G106</f>
        <v>854385.28</v>
      </c>
      <c r="H106" s="252">
        <f>Données!H106</f>
        <v>447846.55</v>
      </c>
      <c r="I106" s="252">
        <f>Données!I106</f>
        <v>71474.399999999994</v>
      </c>
      <c r="J106" s="252">
        <f>Données!J106</f>
        <v>0</v>
      </c>
      <c r="K106" s="252">
        <f>Données!K106</f>
        <v>126011.07</v>
      </c>
      <c r="L106" s="252">
        <f>Données!L106</f>
        <v>-340274.06</v>
      </c>
      <c r="M106" s="252">
        <f>Données!M106</f>
        <v>0</v>
      </c>
      <c r="N106" s="252">
        <f>Données!N106</f>
        <v>48348.05</v>
      </c>
      <c r="O106" s="252">
        <f>Données!O106</f>
        <v>717411.4</v>
      </c>
      <c r="P106" s="252">
        <f>Données!P106</f>
        <v>184223.41</v>
      </c>
      <c r="Q106" s="252">
        <f>Données!Q106</f>
        <v>65738.7</v>
      </c>
      <c r="R106" s="252">
        <f>Données!R106</f>
        <v>-717.1</v>
      </c>
      <c r="S106" s="244"/>
      <c r="T106" s="236">
        <f t="shared" si="6"/>
        <v>6888206.0322814481</v>
      </c>
      <c r="U106" s="253">
        <f t="shared" si="7"/>
        <v>717411.4</v>
      </c>
      <c r="V106" s="253">
        <f t="shared" si="8"/>
        <v>249245.00999999998</v>
      </c>
      <c r="W106" s="254">
        <f t="shared" si="9"/>
        <v>7854862.4422814483</v>
      </c>
      <c r="X106" s="236">
        <f t="shared" si="10"/>
        <v>1525.5122241758493</v>
      </c>
      <c r="Y106" s="255">
        <f t="shared" si="11"/>
        <v>0.44055144712251071</v>
      </c>
    </row>
    <row r="107" spans="1:25" x14ac:dyDescent="0.25">
      <c r="A107" s="111">
        <f>Données!A107</f>
        <v>5571</v>
      </c>
      <c r="B107" s="119" t="str">
        <f>Données!B107</f>
        <v>Tévenon</v>
      </c>
      <c r="C107" s="249">
        <f>Données!C107</f>
        <v>857</v>
      </c>
      <c r="D107" s="250">
        <f>Données!D107</f>
        <v>71.5</v>
      </c>
      <c r="E107" s="251">
        <f>Données!E107</f>
        <v>1.2</v>
      </c>
      <c r="F107" s="252">
        <f>Données!F107</f>
        <v>1475291.98</v>
      </c>
      <c r="G107" s="252">
        <f>Données!G107</f>
        <v>246035.07</v>
      </c>
      <c r="H107" s="252">
        <f>Données!H107</f>
        <v>10837.5</v>
      </c>
      <c r="I107" s="252">
        <f>Données!I107</f>
        <v>1448.45</v>
      </c>
      <c r="J107" s="252">
        <f>Données!J107</f>
        <v>0</v>
      </c>
      <c r="K107" s="252">
        <f>Données!K107</f>
        <v>2673.8</v>
      </c>
      <c r="L107" s="252">
        <f>Données!L107</f>
        <v>-10012.27</v>
      </c>
      <c r="M107" s="252">
        <f>Données!M107</f>
        <v>0</v>
      </c>
      <c r="N107" s="252">
        <f>Données!N107</f>
        <v>1143.8</v>
      </c>
      <c r="O107" s="252">
        <f>Données!O107</f>
        <v>212693.2</v>
      </c>
      <c r="P107" s="252">
        <f>Données!P107</f>
        <v>22119.35</v>
      </c>
      <c r="Q107" s="252">
        <f>Données!Q107</f>
        <v>9167.2000000000007</v>
      </c>
      <c r="R107" s="252">
        <f>Données!R107</f>
        <v>-22.45</v>
      </c>
      <c r="S107" s="244"/>
      <c r="T107" s="236">
        <f t="shared" si="6"/>
        <v>1626278.0155048845</v>
      </c>
      <c r="U107" s="253">
        <f t="shared" si="7"/>
        <v>177244.33333333334</v>
      </c>
      <c r="V107" s="253">
        <f t="shared" si="8"/>
        <v>31264.1</v>
      </c>
      <c r="W107" s="254">
        <f t="shared" si="9"/>
        <v>1834786.4488382179</v>
      </c>
      <c r="X107" s="236">
        <f t="shared" si="10"/>
        <v>2140.9410138135563</v>
      </c>
      <c r="Y107" s="255">
        <f t="shared" si="11"/>
        <v>0.61828063183764637</v>
      </c>
    </row>
    <row r="108" spans="1:25" x14ac:dyDescent="0.25">
      <c r="A108" s="111">
        <f>Données!A108</f>
        <v>5581</v>
      </c>
      <c r="B108" s="119" t="str">
        <f>Données!B108</f>
        <v>Belmont-sur-Lausanne</v>
      </c>
      <c r="C108" s="249">
        <f>Données!C108</f>
        <v>3891</v>
      </c>
      <c r="D108" s="250">
        <f>Données!D108</f>
        <v>72</v>
      </c>
      <c r="E108" s="251">
        <f>Données!E108</f>
        <v>1.5</v>
      </c>
      <c r="F108" s="252">
        <f>Données!F108</f>
        <v>11887103.710000001</v>
      </c>
      <c r="G108" s="252">
        <f>Données!G108</f>
        <v>2546003.39</v>
      </c>
      <c r="H108" s="252">
        <f>Données!H108</f>
        <v>-149633.54999999999</v>
      </c>
      <c r="I108" s="252">
        <f>Données!I108</f>
        <v>16314.45</v>
      </c>
      <c r="J108" s="252">
        <f>Données!J108</f>
        <v>137964.04999999999</v>
      </c>
      <c r="K108" s="252">
        <f>Données!K108</f>
        <v>46616.01</v>
      </c>
      <c r="L108" s="252">
        <f>Données!L108</f>
        <v>-100668.96</v>
      </c>
      <c r="M108" s="252">
        <f>Données!M108</f>
        <v>0</v>
      </c>
      <c r="N108" s="252">
        <f>Données!N108</f>
        <v>-12411.82</v>
      </c>
      <c r="O108" s="252">
        <f>Données!O108</f>
        <v>1621552.95</v>
      </c>
      <c r="P108" s="252">
        <f>Données!P108</f>
        <v>211453.99</v>
      </c>
      <c r="Q108" s="252">
        <f>Données!Q108</f>
        <v>18562.400000000001</v>
      </c>
      <c r="R108" s="252">
        <f>Données!R108</f>
        <v>-23553.8</v>
      </c>
      <c r="S108" s="244"/>
      <c r="T108" s="236">
        <f t="shared" si="6"/>
        <v>13435891.366462706</v>
      </c>
      <c r="U108" s="253">
        <f t="shared" si="7"/>
        <v>1081035.3</v>
      </c>
      <c r="V108" s="253">
        <f t="shared" si="8"/>
        <v>206462.59</v>
      </c>
      <c r="W108" s="254">
        <f t="shared" si="9"/>
        <v>14723389.256462706</v>
      </c>
      <c r="X108" s="236">
        <f t="shared" si="10"/>
        <v>3783.9602303939105</v>
      </c>
      <c r="Y108" s="255">
        <f t="shared" si="11"/>
        <v>1.0927668286989118</v>
      </c>
    </row>
    <row r="109" spans="1:25" x14ac:dyDescent="0.25">
      <c r="A109" s="111">
        <f>Données!A109</f>
        <v>5582</v>
      </c>
      <c r="B109" s="119" t="str">
        <f>Données!B109</f>
        <v>Cheseaux-sur-Lausanne</v>
      </c>
      <c r="C109" s="249">
        <f>Données!C109</f>
        <v>4870</v>
      </c>
      <c r="D109" s="250">
        <f>Données!D109</f>
        <v>73</v>
      </c>
      <c r="E109" s="251">
        <f>Données!E109</f>
        <v>1</v>
      </c>
      <c r="F109" s="252">
        <f>Données!F109</f>
        <v>9975516.3599999994</v>
      </c>
      <c r="G109" s="252">
        <f>Données!G109</f>
        <v>1193176.08</v>
      </c>
      <c r="H109" s="252">
        <f>Données!H109</f>
        <v>440907.15</v>
      </c>
      <c r="I109" s="252">
        <f>Données!I109</f>
        <v>252326.75</v>
      </c>
      <c r="J109" s="252">
        <f>Données!J109</f>
        <v>0</v>
      </c>
      <c r="K109" s="252">
        <f>Données!K109</f>
        <v>14272.22</v>
      </c>
      <c r="L109" s="252">
        <f>Données!L109</f>
        <v>-95322.4</v>
      </c>
      <c r="M109" s="252">
        <f>Données!M109</f>
        <v>0</v>
      </c>
      <c r="N109" s="252">
        <f>Données!N109</f>
        <v>63556.91</v>
      </c>
      <c r="O109" s="252">
        <f>Données!O109</f>
        <v>1098453.6000000001</v>
      </c>
      <c r="P109" s="252">
        <f>Données!P109</f>
        <v>332200.71999999997</v>
      </c>
      <c r="Q109" s="252">
        <f>Données!Q109</f>
        <v>84630.45</v>
      </c>
      <c r="R109" s="252">
        <f>Données!R109</f>
        <v>-7270.81</v>
      </c>
      <c r="S109" s="244"/>
      <c r="T109" s="236">
        <f t="shared" si="6"/>
        <v>10921812.77145905</v>
      </c>
      <c r="U109" s="253">
        <f t="shared" si="7"/>
        <v>1098453.6000000001</v>
      </c>
      <c r="V109" s="253">
        <f t="shared" si="8"/>
        <v>409560.36</v>
      </c>
      <c r="W109" s="254">
        <f t="shared" si="9"/>
        <v>12429826.73145905</v>
      </c>
      <c r="X109" s="236">
        <f t="shared" si="10"/>
        <v>2552.3258175480596</v>
      </c>
      <c r="Y109" s="255">
        <f t="shared" si="11"/>
        <v>0.73708411812721542</v>
      </c>
    </row>
    <row r="110" spans="1:25" x14ac:dyDescent="0.25">
      <c r="A110" s="111">
        <f>Données!A110</f>
        <v>5583</v>
      </c>
      <c r="B110" s="119" t="str">
        <f>Données!B110</f>
        <v>Crissier</v>
      </c>
      <c r="C110" s="249">
        <f>Données!C110</f>
        <v>11116</v>
      </c>
      <c r="D110" s="250">
        <f>Données!D110</f>
        <v>63.5</v>
      </c>
      <c r="E110" s="251">
        <f>Données!E110</f>
        <v>1</v>
      </c>
      <c r="F110" s="252">
        <f>Données!F110</f>
        <v>20591395.440000001</v>
      </c>
      <c r="G110" s="252">
        <f>Données!G110</f>
        <v>2151763.94</v>
      </c>
      <c r="H110" s="252">
        <f>Données!H110</f>
        <v>3910195.35</v>
      </c>
      <c r="I110" s="252">
        <f>Données!I110</f>
        <v>377566.05</v>
      </c>
      <c r="J110" s="252">
        <f>Données!J110</f>
        <v>0</v>
      </c>
      <c r="K110" s="252">
        <f>Données!K110</f>
        <v>100021.12</v>
      </c>
      <c r="L110" s="252">
        <f>Données!L110</f>
        <v>-475853.22</v>
      </c>
      <c r="M110" s="252">
        <f>Données!M110</f>
        <v>0</v>
      </c>
      <c r="N110" s="252">
        <f>Données!N110</f>
        <v>399184.57</v>
      </c>
      <c r="O110" s="252">
        <f>Données!O110</f>
        <v>3775102.2</v>
      </c>
      <c r="P110" s="252">
        <f>Données!P110</f>
        <v>1515103.22</v>
      </c>
      <c r="Q110" s="252">
        <f>Données!Q110</f>
        <v>449027.75</v>
      </c>
      <c r="R110" s="252">
        <f>Données!R110</f>
        <v>-5699.05</v>
      </c>
      <c r="S110" s="244"/>
      <c r="T110" s="236">
        <f t="shared" si="6"/>
        <v>28679095.89102032</v>
      </c>
      <c r="U110" s="253">
        <f t="shared" si="7"/>
        <v>3775102.2</v>
      </c>
      <c r="V110" s="253">
        <f t="shared" si="8"/>
        <v>1958431.92</v>
      </c>
      <c r="W110" s="254">
        <f t="shared" si="9"/>
        <v>34412630.011020318</v>
      </c>
      <c r="X110" s="236">
        <f t="shared" si="10"/>
        <v>3095.7745601853471</v>
      </c>
      <c r="Y110" s="255">
        <f t="shared" si="11"/>
        <v>0.89402624301586386</v>
      </c>
    </row>
    <row r="111" spans="1:25" x14ac:dyDescent="0.25">
      <c r="A111" s="111">
        <f>Données!A111</f>
        <v>5584</v>
      </c>
      <c r="B111" s="119" t="str">
        <f>Données!B111</f>
        <v>Epalinges</v>
      </c>
      <c r="C111" s="249">
        <f>Données!C111</f>
        <v>9869</v>
      </c>
      <c r="D111" s="250">
        <f>Données!D111</f>
        <v>64.5</v>
      </c>
      <c r="E111" s="251">
        <f>Données!E111</f>
        <v>1</v>
      </c>
      <c r="F111" s="252">
        <f>Données!F111</f>
        <v>24408894.949999999</v>
      </c>
      <c r="G111" s="252">
        <f>Données!G111</f>
        <v>5044311.88</v>
      </c>
      <c r="H111" s="252">
        <f>Données!H111</f>
        <v>475120.4</v>
      </c>
      <c r="I111" s="252">
        <f>Données!I111</f>
        <v>171386.45</v>
      </c>
      <c r="J111" s="252">
        <f>Données!J111</f>
        <v>509484.37</v>
      </c>
      <c r="K111" s="252">
        <f>Données!K111</f>
        <v>57422.43</v>
      </c>
      <c r="L111" s="252">
        <f>Données!L111</f>
        <v>-208536.6</v>
      </c>
      <c r="M111" s="252">
        <f>Données!M111</f>
        <v>0</v>
      </c>
      <c r="N111" s="252">
        <f>Données!N111</f>
        <v>60649.72</v>
      </c>
      <c r="O111" s="252">
        <f>Données!O111</f>
        <v>2797641.1</v>
      </c>
      <c r="P111" s="252">
        <f>Données!P111</f>
        <v>624296.16</v>
      </c>
      <c r="Q111" s="252">
        <f>Données!Q111</f>
        <v>356424.1</v>
      </c>
      <c r="R111" s="252">
        <f>Données!R111</f>
        <v>-539342.44999999995</v>
      </c>
      <c r="S111" s="244"/>
      <c r="T111" s="236">
        <f t="shared" si="6"/>
        <v>31850048.856579717</v>
      </c>
      <c r="U111" s="253">
        <f t="shared" si="7"/>
        <v>2797641.1</v>
      </c>
      <c r="V111" s="253">
        <f t="shared" si="8"/>
        <v>441377.81000000006</v>
      </c>
      <c r="W111" s="254">
        <f t="shared" si="9"/>
        <v>35089067.766579717</v>
      </c>
      <c r="X111" s="236">
        <f t="shared" si="10"/>
        <v>3555.483611974842</v>
      </c>
      <c r="Y111" s="255">
        <f t="shared" si="11"/>
        <v>1.026785249998317</v>
      </c>
    </row>
    <row r="112" spans="1:25" x14ac:dyDescent="0.25">
      <c r="A112" s="111">
        <f>Données!A112</f>
        <v>5585</v>
      </c>
      <c r="B112" s="119" t="str">
        <f>Données!B112</f>
        <v>Jouxtens-Mézery</v>
      </c>
      <c r="C112" s="249">
        <f>Données!C112</f>
        <v>1455</v>
      </c>
      <c r="D112" s="250">
        <f>Données!D112</f>
        <v>59</v>
      </c>
      <c r="E112" s="251">
        <f>Données!E112</f>
        <v>1.5</v>
      </c>
      <c r="F112" s="252">
        <f>Données!F112</f>
        <v>9383290.4900000002</v>
      </c>
      <c r="G112" s="252">
        <f>Données!G112</f>
        <v>6215665.0599999996</v>
      </c>
      <c r="H112" s="252">
        <f>Données!H112</f>
        <v>36123.599999999999</v>
      </c>
      <c r="I112" s="252">
        <f>Données!I112</f>
        <v>7922.25</v>
      </c>
      <c r="J112" s="252">
        <f>Données!J112</f>
        <v>536993.22</v>
      </c>
      <c r="K112" s="252">
        <f>Données!K112</f>
        <v>26876.22</v>
      </c>
      <c r="L112" s="252">
        <f>Données!L112</f>
        <v>-27771.88</v>
      </c>
      <c r="M112" s="252">
        <f>Données!M112</f>
        <v>0</v>
      </c>
      <c r="N112" s="252">
        <f>Données!N112</f>
        <v>4100.6099999999997</v>
      </c>
      <c r="O112" s="252">
        <f>Données!O112</f>
        <v>976579.6</v>
      </c>
      <c r="P112" s="252">
        <f>Données!P112</f>
        <v>56706.58</v>
      </c>
      <c r="Q112" s="252">
        <f>Données!Q112</f>
        <v>19426.5</v>
      </c>
      <c r="R112" s="252">
        <f>Données!R112</f>
        <v>-22878.05</v>
      </c>
      <c r="S112" s="244"/>
      <c r="T112" s="236">
        <f t="shared" si="6"/>
        <v>18463570.433174275</v>
      </c>
      <c r="U112" s="253">
        <f t="shared" si="7"/>
        <v>651053.06666666665</v>
      </c>
      <c r="V112" s="253">
        <f t="shared" si="8"/>
        <v>53255.03</v>
      </c>
      <c r="W112" s="254">
        <f t="shared" si="9"/>
        <v>19167878.529840942</v>
      </c>
      <c r="X112" s="236">
        <f t="shared" si="10"/>
        <v>13173.799676866627</v>
      </c>
      <c r="Y112" s="255">
        <f t="shared" si="11"/>
        <v>3.8044510032563634</v>
      </c>
    </row>
    <row r="113" spans="1:25" x14ac:dyDescent="0.25">
      <c r="A113" s="111">
        <f>Données!A113</f>
        <v>5586</v>
      </c>
      <c r="B113" s="119" t="str">
        <f>Données!B113</f>
        <v>Lausanne</v>
      </c>
      <c r="C113" s="249">
        <f>Données!C113</f>
        <v>145707</v>
      </c>
      <c r="D113" s="250">
        <f>Données!D113</f>
        <v>78.5</v>
      </c>
      <c r="E113" s="251">
        <f>Données!E113</f>
        <v>1.5</v>
      </c>
      <c r="F113" s="252">
        <f>Données!F113</f>
        <v>320630984.54000002</v>
      </c>
      <c r="G113" s="252">
        <f>Données!G113</f>
        <v>50966566.140000001</v>
      </c>
      <c r="H113" s="252">
        <f>Données!H113</f>
        <v>123034692.15000001</v>
      </c>
      <c r="I113" s="252">
        <f>Données!I113</f>
        <v>8099709.5499999998</v>
      </c>
      <c r="J113" s="252">
        <f>Données!J113</f>
        <v>5924716.8099999996</v>
      </c>
      <c r="K113" s="252">
        <f>Données!K113</f>
        <v>2056485.33</v>
      </c>
      <c r="L113" s="252">
        <f>Données!L113</f>
        <v>-7171778.5999999996</v>
      </c>
      <c r="M113" s="252">
        <f>Données!M113</f>
        <v>0</v>
      </c>
      <c r="N113" s="252">
        <f>Données!N113</f>
        <v>12021826.42</v>
      </c>
      <c r="O113" s="252">
        <f>Données!O113</f>
        <v>48124736.350000001</v>
      </c>
      <c r="P113" s="252">
        <f>Données!P113</f>
        <v>25845560.969999999</v>
      </c>
      <c r="Q113" s="252">
        <f>Données!Q113</f>
        <v>6861057.6500000004</v>
      </c>
      <c r="R113" s="252">
        <f>Données!R113</f>
        <v>-2973139.25</v>
      </c>
      <c r="S113" s="244"/>
      <c r="T113" s="236">
        <f t="shared" si="6"/>
        <v>442094961.23935568</v>
      </c>
      <c r="U113" s="253">
        <f t="shared" si="7"/>
        <v>32083157.566666666</v>
      </c>
      <c r="V113" s="253">
        <f t="shared" si="8"/>
        <v>29733479.369999997</v>
      </c>
      <c r="W113" s="254">
        <f t="shared" si="9"/>
        <v>503911598.17602235</v>
      </c>
      <c r="X113" s="236">
        <f t="shared" si="10"/>
        <v>3458.3897697160901</v>
      </c>
      <c r="Y113" s="255">
        <f t="shared" si="11"/>
        <v>0.99874559745676694</v>
      </c>
    </row>
    <row r="114" spans="1:25" x14ac:dyDescent="0.25">
      <c r="A114" s="111">
        <f>Données!A114</f>
        <v>5587</v>
      </c>
      <c r="B114" s="119" t="str">
        <f>Données!B114</f>
        <v>Le Mont-sur-Lausanne</v>
      </c>
      <c r="C114" s="249">
        <f>Données!C114</f>
        <v>9785</v>
      </c>
      <c r="D114" s="250">
        <f>Données!D114</f>
        <v>72</v>
      </c>
      <c r="E114" s="251">
        <f>Données!E114</f>
        <v>1.2</v>
      </c>
      <c r="F114" s="252">
        <f>Données!F114</f>
        <v>26558448.649999999</v>
      </c>
      <c r="G114" s="252">
        <f>Données!G114</f>
        <v>4423872.83</v>
      </c>
      <c r="H114" s="252">
        <f>Données!H114</f>
        <v>3913982.25</v>
      </c>
      <c r="I114" s="252">
        <f>Données!I114</f>
        <v>328869.2</v>
      </c>
      <c r="J114" s="252">
        <f>Données!J114</f>
        <v>-201438.5</v>
      </c>
      <c r="K114" s="252">
        <f>Données!K114</f>
        <v>49934.080000000002</v>
      </c>
      <c r="L114" s="252">
        <f>Données!L114</f>
        <v>-245546.33</v>
      </c>
      <c r="M114" s="252">
        <f>Données!M114</f>
        <v>0</v>
      </c>
      <c r="N114" s="252">
        <f>Données!N114</f>
        <v>395003.51</v>
      </c>
      <c r="O114" s="252">
        <f>Données!O114</f>
        <v>3498581.65</v>
      </c>
      <c r="P114" s="252">
        <f>Données!P114</f>
        <v>638108.67000000004</v>
      </c>
      <c r="Q114" s="252">
        <f>Données!Q114</f>
        <v>384834.75</v>
      </c>
      <c r="R114" s="252">
        <f>Données!R114</f>
        <v>-103929.41</v>
      </c>
      <c r="S114" s="244"/>
      <c r="T114" s="236">
        <f t="shared" si="6"/>
        <v>32930528.848081157</v>
      </c>
      <c r="U114" s="253">
        <f t="shared" si="7"/>
        <v>2915484.7083333335</v>
      </c>
      <c r="V114" s="253">
        <f t="shared" si="8"/>
        <v>919014.01</v>
      </c>
      <c r="W114" s="254">
        <f t="shared" si="9"/>
        <v>36765027.56641449</v>
      </c>
      <c r="X114" s="236">
        <f t="shared" si="10"/>
        <v>3757.2843706095546</v>
      </c>
      <c r="Y114" s="255">
        <f t="shared" si="11"/>
        <v>1.0850631286269021</v>
      </c>
    </row>
    <row r="115" spans="1:25" x14ac:dyDescent="0.25">
      <c r="A115" s="111">
        <f>Données!A115</f>
        <v>5588</v>
      </c>
      <c r="B115" s="119" t="str">
        <f>Données!B115</f>
        <v>Paudex</v>
      </c>
      <c r="C115" s="249">
        <f>Données!C115</f>
        <v>1483</v>
      </c>
      <c r="D115" s="250">
        <f>Données!D115</f>
        <v>66.5</v>
      </c>
      <c r="E115" s="251">
        <f>Données!E115</f>
        <v>0.7</v>
      </c>
      <c r="F115" s="252">
        <f>Données!F115</f>
        <v>3703539.15</v>
      </c>
      <c r="G115" s="252">
        <f>Données!G115</f>
        <v>1310369.02</v>
      </c>
      <c r="H115" s="252">
        <f>Données!H115</f>
        <v>341786</v>
      </c>
      <c r="I115" s="252">
        <f>Données!I115</f>
        <v>420494.5</v>
      </c>
      <c r="J115" s="252">
        <f>Données!J115</f>
        <v>825167.75</v>
      </c>
      <c r="K115" s="252">
        <f>Données!K115</f>
        <v>689.34</v>
      </c>
      <c r="L115" s="252">
        <f>Données!L115</f>
        <v>-46709.2</v>
      </c>
      <c r="M115" s="252">
        <f>Données!M115</f>
        <v>0</v>
      </c>
      <c r="N115" s="252">
        <f>Données!N115</f>
        <v>70967.240000000005</v>
      </c>
      <c r="O115" s="252">
        <f>Données!O115</f>
        <v>422731.1</v>
      </c>
      <c r="P115" s="252">
        <f>Données!P115</f>
        <v>383042.92</v>
      </c>
      <c r="Q115" s="252">
        <f>Données!Q115</f>
        <v>-61785.5</v>
      </c>
      <c r="R115" s="252">
        <f>Données!R115</f>
        <v>-11612.61</v>
      </c>
      <c r="S115" s="244"/>
      <c r="T115" s="236">
        <f t="shared" si="6"/>
        <v>6707381.4785455437</v>
      </c>
      <c r="U115" s="253">
        <f t="shared" si="7"/>
        <v>603901.57142857148</v>
      </c>
      <c r="V115" s="253">
        <f t="shared" si="8"/>
        <v>309644.81</v>
      </c>
      <c r="W115" s="254">
        <f t="shared" si="9"/>
        <v>7620927.8599741152</v>
      </c>
      <c r="X115" s="236">
        <f t="shared" si="10"/>
        <v>5138.8589750331184</v>
      </c>
      <c r="Y115" s="255">
        <f t="shared" si="11"/>
        <v>1.4840469464165853</v>
      </c>
    </row>
    <row r="116" spans="1:25" x14ac:dyDescent="0.25">
      <c r="A116" s="111">
        <f>Données!A116</f>
        <v>5589</v>
      </c>
      <c r="B116" s="119" t="str">
        <f>Données!B116</f>
        <v>Prilly</v>
      </c>
      <c r="C116" s="249">
        <f>Données!C116</f>
        <v>13069</v>
      </c>
      <c r="D116" s="250">
        <f>Données!D116</f>
        <v>72.5</v>
      </c>
      <c r="E116" s="251">
        <f>Données!E116</f>
        <v>1.3</v>
      </c>
      <c r="F116" s="252">
        <f>Données!F116</f>
        <v>21071772.940000001</v>
      </c>
      <c r="G116" s="252">
        <f>Données!G116</f>
        <v>2390706.08</v>
      </c>
      <c r="H116" s="252">
        <f>Données!H116</f>
        <v>6902709.9000000004</v>
      </c>
      <c r="I116" s="252">
        <f>Données!I116</f>
        <v>295030.59999999998</v>
      </c>
      <c r="J116" s="252">
        <f>Données!J116</f>
        <v>-123764.6</v>
      </c>
      <c r="K116" s="252">
        <f>Données!K116</f>
        <v>61817.03</v>
      </c>
      <c r="L116" s="252">
        <f>Données!L116</f>
        <v>-621934.98</v>
      </c>
      <c r="M116" s="252">
        <f>Données!M116</f>
        <v>0</v>
      </c>
      <c r="N116" s="252">
        <f>Données!N116</f>
        <v>662541.29</v>
      </c>
      <c r="O116" s="252">
        <f>Données!O116</f>
        <v>3511664.3</v>
      </c>
      <c r="P116" s="252">
        <f>Données!P116</f>
        <v>1505163.45</v>
      </c>
      <c r="Q116" s="252">
        <f>Données!Q116</f>
        <v>387406</v>
      </c>
      <c r="R116" s="252">
        <f>Données!R116</f>
        <v>-90659.199999999997</v>
      </c>
      <c r="S116" s="244"/>
      <c r="T116" s="236">
        <f t="shared" si="6"/>
        <v>28447110.758461684</v>
      </c>
      <c r="U116" s="253">
        <f t="shared" si="7"/>
        <v>2701280.2307692305</v>
      </c>
      <c r="V116" s="253">
        <f t="shared" si="8"/>
        <v>1801910.25</v>
      </c>
      <c r="W116" s="254">
        <f t="shared" si="9"/>
        <v>32950301.239230916</v>
      </c>
      <c r="X116" s="236">
        <f t="shared" si="10"/>
        <v>2521.2565031166055</v>
      </c>
      <c r="Y116" s="255">
        <f t="shared" si="11"/>
        <v>0.72811163582457372</v>
      </c>
    </row>
    <row r="117" spans="1:25" x14ac:dyDescent="0.25">
      <c r="A117" s="111">
        <f>Données!A117</f>
        <v>5590</v>
      </c>
      <c r="B117" s="119" t="str">
        <f>Données!B117</f>
        <v>Pully</v>
      </c>
      <c r="C117" s="249">
        <f>Données!C117</f>
        <v>19550</v>
      </c>
      <c r="D117" s="250">
        <f>Données!D117</f>
        <v>61</v>
      </c>
      <c r="E117" s="251">
        <f>Données!E117</f>
        <v>0.7</v>
      </c>
      <c r="F117" s="252">
        <f>Données!F117</f>
        <v>59676350.590000004</v>
      </c>
      <c r="G117" s="252">
        <f>Données!G117</f>
        <v>18837277.77</v>
      </c>
      <c r="H117" s="252">
        <f>Données!H117</f>
        <v>12882446.25</v>
      </c>
      <c r="I117" s="252">
        <f>Données!I117</f>
        <v>1734044.9</v>
      </c>
      <c r="J117" s="252">
        <f>Données!J117</f>
        <v>2671442.46</v>
      </c>
      <c r="K117" s="252">
        <f>Données!K117</f>
        <v>255077.3</v>
      </c>
      <c r="L117" s="252">
        <f>Données!L117</f>
        <v>-469373.44</v>
      </c>
      <c r="M117" s="252">
        <f>Données!M117</f>
        <v>0</v>
      </c>
      <c r="N117" s="252">
        <f>Données!N117</f>
        <v>1361385.85</v>
      </c>
      <c r="O117" s="252">
        <f>Données!O117</f>
        <v>4231163.75</v>
      </c>
      <c r="P117" s="252">
        <f>Données!P117</f>
        <v>1235849.9099999999</v>
      </c>
      <c r="Q117" s="252">
        <f>Données!Q117</f>
        <v>540667.85</v>
      </c>
      <c r="R117" s="252">
        <f>Données!R117</f>
        <v>-258663.03</v>
      </c>
      <c r="S117" s="244"/>
      <c r="T117" s="236">
        <f t="shared" si="6"/>
        <v>106983117.14999503</v>
      </c>
      <c r="U117" s="253">
        <f t="shared" si="7"/>
        <v>6044519.6428571437</v>
      </c>
      <c r="V117" s="253">
        <f t="shared" si="8"/>
        <v>1517854.7299999997</v>
      </c>
      <c r="W117" s="254">
        <f t="shared" si="9"/>
        <v>114545491.52285218</v>
      </c>
      <c r="X117" s="236">
        <f t="shared" si="10"/>
        <v>5859.1044257213389</v>
      </c>
      <c r="Y117" s="255">
        <f t="shared" si="11"/>
        <v>1.6920460502949715</v>
      </c>
    </row>
    <row r="118" spans="1:25" x14ac:dyDescent="0.25">
      <c r="A118" s="111">
        <f>Données!A118</f>
        <v>5591</v>
      </c>
      <c r="B118" s="119" t="str">
        <f>Données!B118</f>
        <v>Renens</v>
      </c>
      <c r="C118" s="249">
        <f>Données!C118</f>
        <v>21827</v>
      </c>
      <c r="D118" s="250">
        <f>Données!D118</f>
        <v>77</v>
      </c>
      <c r="E118" s="251">
        <f>Données!E118</f>
        <v>1.4</v>
      </c>
      <c r="F118" s="252">
        <f>Données!F118</f>
        <v>30437353.850000001</v>
      </c>
      <c r="G118" s="252">
        <f>Données!G118</f>
        <v>3315297.4</v>
      </c>
      <c r="H118" s="252">
        <f>Données!H118</f>
        <v>7806393.25</v>
      </c>
      <c r="I118" s="252">
        <f>Données!I118</f>
        <v>552444.65</v>
      </c>
      <c r="J118" s="252">
        <f>Données!J118</f>
        <v>0</v>
      </c>
      <c r="K118" s="252">
        <f>Données!K118</f>
        <v>409429.57</v>
      </c>
      <c r="L118" s="252">
        <f>Données!L118</f>
        <v>-1116864.6000000001</v>
      </c>
      <c r="M118" s="252">
        <f>Données!M118</f>
        <v>0</v>
      </c>
      <c r="N118" s="252">
        <f>Données!N118</f>
        <v>789631.77</v>
      </c>
      <c r="O118" s="252">
        <f>Données!O118</f>
        <v>5990516.4500000002</v>
      </c>
      <c r="P118" s="252">
        <f>Données!P118</f>
        <v>3161130.33</v>
      </c>
      <c r="Q118" s="252">
        <f>Données!Q118</f>
        <v>1039759.95</v>
      </c>
      <c r="R118" s="252">
        <f>Données!R118</f>
        <v>-33979.370000000003</v>
      </c>
      <c r="S118" s="244"/>
      <c r="T118" s="236">
        <f t="shared" si="6"/>
        <v>36885871.548321046</v>
      </c>
      <c r="U118" s="253">
        <f t="shared" si="7"/>
        <v>4278940.3214285718</v>
      </c>
      <c r="V118" s="253">
        <f t="shared" si="8"/>
        <v>4166910.91</v>
      </c>
      <c r="W118" s="254">
        <f t="shared" si="9"/>
        <v>45331722.779749617</v>
      </c>
      <c r="X118" s="236">
        <f t="shared" si="10"/>
        <v>2076.8645613116605</v>
      </c>
      <c r="Y118" s="255">
        <f t="shared" si="11"/>
        <v>0.59977604470368384</v>
      </c>
    </row>
    <row r="119" spans="1:25" x14ac:dyDescent="0.25">
      <c r="A119" s="111">
        <f>Données!A119</f>
        <v>5592</v>
      </c>
      <c r="B119" s="119" t="str">
        <f>Données!B119</f>
        <v>Romanel-sur-Lausanne</v>
      </c>
      <c r="C119" s="249">
        <f>Données!C119</f>
        <v>4331</v>
      </c>
      <c r="D119" s="250">
        <f>Données!D119</f>
        <v>70.5</v>
      </c>
      <c r="E119" s="251">
        <f>Données!E119</f>
        <v>1.25</v>
      </c>
      <c r="F119" s="252">
        <f>Données!F119</f>
        <v>7304778.5899999999</v>
      </c>
      <c r="G119" s="252">
        <f>Données!G119</f>
        <v>974648.49</v>
      </c>
      <c r="H119" s="252">
        <f>Données!H119</f>
        <v>768536.2</v>
      </c>
      <c r="I119" s="252">
        <f>Données!I119</f>
        <v>46582.95</v>
      </c>
      <c r="J119" s="252">
        <f>Données!J119</f>
        <v>0</v>
      </c>
      <c r="K119" s="252">
        <f>Données!K119</f>
        <v>112256.5</v>
      </c>
      <c r="L119" s="252">
        <f>Données!L119</f>
        <v>-179502.11</v>
      </c>
      <c r="M119" s="252">
        <f>Données!M119</f>
        <v>0</v>
      </c>
      <c r="N119" s="252">
        <f>Données!N119</f>
        <v>75886.45</v>
      </c>
      <c r="O119" s="252">
        <f>Données!O119</f>
        <v>1200013</v>
      </c>
      <c r="P119" s="252">
        <f>Données!P119</f>
        <v>326703.12</v>
      </c>
      <c r="Q119" s="252">
        <f>Données!Q119</f>
        <v>84996</v>
      </c>
      <c r="R119" s="252">
        <f>Données!R119</f>
        <v>-18906.45</v>
      </c>
      <c r="S119" s="244"/>
      <c r="T119" s="236">
        <f t="shared" si="6"/>
        <v>8691758.6768519394</v>
      </c>
      <c r="U119" s="253">
        <f t="shared" si="7"/>
        <v>960010.4</v>
      </c>
      <c r="V119" s="253">
        <f t="shared" si="8"/>
        <v>392792.67</v>
      </c>
      <c r="W119" s="254">
        <f t="shared" si="9"/>
        <v>10044561.74685194</v>
      </c>
      <c r="X119" s="236">
        <f t="shared" si="10"/>
        <v>2319.2246009817454</v>
      </c>
      <c r="Y119" s="255">
        <f t="shared" si="11"/>
        <v>0.66976700545066059</v>
      </c>
    </row>
    <row r="120" spans="1:25" x14ac:dyDescent="0.25">
      <c r="A120" s="111">
        <f>Données!A120</f>
        <v>5601</v>
      </c>
      <c r="B120" s="119" t="str">
        <f>Données!B120</f>
        <v>Chexbres</v>
      </c>
      <c r="C120" s="249">
        <f>Données!C120</f>
        <v>2272</v>
      </c>
      <c r="D120" s="250">
        <f>Données!D120</f>
        <v>67.5</v>
      </c>
      <c r="E120" s="251">
        <f>Données!E120</f>
        <v>1</v>
      </c>
      <c r="F120" s="252">
        <f>Données!F120</f>
        <v>5974068.29</v>
      </c>
      <c r="G120" s="252">
        <f>Données!G120</f>
        <v>1191744.25</v>
      </c>
      <c r="H120" s="252">
        <f>Données!H120</f>
        <v>89763.3</v>
      </c>
      <c r="I120" s="252">
        <f>Données!I120</f>
        <v>14921.45</v>
      </c>
      <c r="J120" s="252">
        <f>Données!J120</f>
        <v>0</v>
      </c>
      <c r="K120" s="252">
        <f>Données!K120</f>
        <v>17614.59</v>
      </c>
      <c r="L120" s="252">
        <f>Données!L120</f>
        <v>-67830.27</v>
      </c>
      <c r="M120" s="252">
        <f>Données!M120</f>
        <v>0</v>
      </c>
      <c r="N120" s="252">
        <f>Données!N120</f>
        <v>9746</v>
      </c>
      <c r="O120" s="252">
        <f>Données!O120</f>
        <v>522461.05</v>
      </c>
      <c r="P120" s="252">
        <f>Données!P120</f>
        <v>53612.78</v>
      </c>
      <c r="Q120" s="252">
        <f>Données!Q120</f>
        <v>33356.050000000003</v>
      </c>
      <c r="R120" s="252">
        <f>Données!R120</f>
        <v>-11163.9</v>
      </c>
      <c r="S120" s="244"/>
      <c r="T120" s="236">
        <f t="shared" si="6"/>
        <v>7210070.1833662316</v>
      </c>
      <c r="U120" s="253">
        <f t="shared" si="7"/>
        <v>522461.05</v>
      </c>
      <c r="V120" s="253">
        <f t="shared" si="8"/>
        <v>75804.930000000008</v>
      </c>
      <c r="W120" s="254">
        <f t="shared" si="9"/>
        <v>7808336.1633662311</v>
      </c>
      <c r="X120" s="236">
        <f t="shared" si="10"/>
        <v>3436.7676775379537</v>
      </c>
      <c r="Y120" s="255">
        <f t="shared" si="11"/>
        <v>0.99250137086327606</v>
      </c>
    </row>
    <row r="121" spans="1:25" x14ac:dyDescent="0.25">
      <c r="A121" s="111">
        <f>Données!A121</f>
        <v>5604</v>
      </c>
      <c r="B121" s="119" t="str">
        <f>Données!B121</f>
        <v>Forel (Lavaux)</v>
      </c>
      <c r="C121" s="249">
        <f>Données!C121</f>
        <v>2113</v>
      </c>
      <c r="D121" s="250">
        <f>Données!D121</f>
        <v>69</v>
      </c>
      <c r="E121" s="251">
        <f>Données!E121</f>
        <v>1</v>
      </c>
      <c r="F121" s="252">
        <f>Données!F121</f>
        <v>3905133.46</v>
      </c>
      <c r="G121" s="252">
        <f>Données!G121</f>
        <v>1037615.37</v>
      </c>
      <c r="H121" s="252">
        <f>Données!H121</f>
        <v>224956.1</v>
      </c>
      <c r="I121" s="252">
        <f>Données!I121</f>
        <v>13897.35</v>
      </c>
      <c r="J121" s="252">
        <f>Données!J121</f>
        <v>20966.13</v>
      </c>
      <c r="K121" s="252">
        <f>Données!K121</f>
        <v>31274.83</v>
      </c>
      <c r="L121" s="252">
        <f>Données!L121</f>
        <v>-32045.33</v>
      </c>
      <c r="M121" s="252">
        <f>Données!M121</f>
        <v>0</v>
      </c>
      <c r="N121" s="252">
        <f>Données!N121</f>
        <v>22236.92</v>
      </c>
      <c r="O121" s="252">
        <f>Données!O121</f>
        <v>446448.78</v>
      </c>
      <c r="P121" s="252">
        <f>Données!P121</f>
        <v>68720.34</v>
      </c>
      <c r="Q121" s="252">
        <f>Données!Q121</f>
        <v>35532.65</v>
      </c>
      <c r="R121" s="252">
        <f>Données!R121</f>
        <v>-17874.39</v>
      </c>
      <c r="S121" s="244"/>
      <c r="T121" s="236">
        <f t="shared" si="6"/>
        <v>5096362.1586490842</v>
      </c>
      <c r="U121" s="253">
        <f t="shared" si="7"/>
        <v>446448.78</v>
      </c>
      <c r="V121" s="253">
        <f t="shared" si="8"/>
        <v>86378.599999999991</v>
      </c>
      <c r="W121" s="254">
        <f t="shared" si="9"/>
        <v>5629189.538649084</v>
      </c>
      <c r="X121" s="236">
        <f t="shared" si="10"/>
        <v>2664.0745568618477</v>
      </c>
      <c r="Y121" s="255">
        <f t="shared" si="11"/>
        <v>0.76935594659152184</v>
      </c>
    </row>
    <row r="122" spans="1:25" x14ac:dyDescent="0.25">
      <c r="A122" s="111">
        <f>Données!A122</f>
        <v>5606</v>
      </c>
      <c r="B122" s="119" t="str">
        <f>Données!B122</f>
        <v>Lutry</v>
      </c>
      <c r="C122" s="249">
        <f>Données!C122</f>
        <v>10843</v>
      </c>
      <c r="D122" s="250">
        <f>Données!D122</f>
        <v>54</v>
      </c>
      <c r="E122" s="251">
        <f>Données!E122</f>
        <v>0.7</v>
      </c>
      <c r="F122" s="252">
        <f>Données!F122</f>
        <v>34566450.700000003</v>
      </c>
      <c r="G122" s="252">
        <f>Données!G122</f>
        <v>8913766.3300000001</v>
      </c>
      <c r="H122" s="252">
        <f>Données!H122</f>
        <v>-1739739.4</v>
      </c>
      <c r="I122" s="252">
        <f>Données!I122</f>
        <v>5635383.5499999998</v>
      </c>
      <c r="J122" s="252">
        <f>Données!J122</f>
        <v>1077538.76</v>
      </c>
      <c r="K122" s="252">
        <f>Données!K122</f>
        <v>26289.08</v>
      </c>
      <c r="L122" s="252">
        <f>Données!L122</f>
        <v>-213982.66</v>
      </c>
      <c r="M122" s="252">
        <f>Données!M122</f>
        <v>0</v>
      </c>
      <c r="N122" s="252">
        <f>Données!N122</f>
        <v>362679</v>
      </c>
      <c r="O122" s="252">
        <f>Données!O122</f>
        <v>2598667.35</v>
      </c>
      <c r="P122" s="252">
        <f>Données!P122</f>
        <v>771127.08</v>
      </c>
      <c r="Q122" s="252">
        <f>Données!Q122</f>
        <v>227300.2</v>
      </c>
      <c r="R122" s="252">
        <f>Données!R122</f>
        <v>-232992.31</v>
      </c>
      <c r="S122" s="244"/>
      <c r="T122" s="236">
        <f t="shared" si="6"/>
        <v>60617692.328110449</v>
      </c>
      <c r="U122" s="253">
        <f t="shared" si="7"/>
        <v>3712381.9285714291</v>
      </c>
      <c r="V122" s="253">
        <f t="shared" si="8"/>
        <v>765434.97</v>
      </c>
      <c r="W122" s="254">
        <f t="shared" si="9"/>
        <v>65095509.226681873</v>
      </c>
      <c r="X122" s="236">
        <f t="shared" si="10"/>
        <v>6003.4593033922229</v>
      </c>
      <c r="Y122" s="255">
        <f t="shared" si="11"/>
        <v>1.733734179206202</v>
      </c>
    </row>
    <row r="123" spans="1:25" x14ac:dyDescent="0.25">
      <c r="A123" s="111">
        <f>Données!A123</f>
        <v>5607</v>
      </c>
      <c r="B123" s="119" t="str">
        <f>Données!B123</f>
        <v>Puidoux</v>
      </c>
      <c r="C123" s="249">
        <f>Données!C123</f>
        <v>3014</v>
      </c>
      <c r="D123" s="250">
        <f>Données!D123</f>
        <v>68.5</v>
      </c>
      <c r="E123" s="251">
        <f>Données!E123</f>
        <v>1.1499999999999999</v>
      </c>
      <c r="F123" s="252">
        <f>Données!F123</f>
        <v>5700508.3799999999</v>
      </c>
      <c r="G123" s="252">
        <f>Données!G123</f>
        <v>1084414.56</v>
      </c>
      <c r="H123" s="252">
        <f>Données!H123</f>
        <v>983582.35</v>
      </c>
      <c r="I123" s="252">
        <f>Données!I123</f>
        <v>221519.15</v>
      </c>
      <c r="J123" s="252">
        <f>Données!J123</f>
        <v>-80.25</v>
      </c>
      <c r="K123" s="252">
        <f>Données!K123</f>
        <v>24491.5</v>
      </c>
      <c r="L123" s="252">
        <f>Données!L123</f>
        <v>-78473.14</v>
      </c>
      <c r="M123" s="252">
        <f>Données!M123</f>
        <v>0</v>
      </c>
      <c r="N123" s="252">
        <f>Données!N123</f>
        <v>110132.82</v>
      </c>
      <c r="O123" s="252">
        <f>Données!O123</f>
        <v>970712.35</v>
      </c>
      <c r="P123" s="252">
        <f>Données!P123</f>
        <v>228965.5</v>
      </c>
      <c r="Q123" s="252">
        <f>Données!Q123</f>
        <v>132299.4</v>
      </c>
      <c r="R123" s="252">
        <f>Données!R123</f>
        <v>-86963.520000000004</v>
      </c>
      <c r="S123" s="244"/>
      <c r="T123" s="236">
        <f t="shared" si="6"/>
        <v>7906748.2966738725</v>
      </c>
      <c r="U123" s="253">
        <f t="shared" si="7"/>
        <v>844097.69565217395</v>
      </c>
      <c r="V123" s="253">
        <f t="shared" si="8"/>
        <v>274301.38</v>
      </c>
      <c r="W123" s="254">
        <f t="shared" si="9"/>
        <v>9025147.3723260481</v>
      </c>
      <c r="X123" s="236">
        <f t="shared" si="10"/>
        <v>2994.4085508712833</v>
      </c>
      <c r="Y123" s="255">
        <f t="shared" si="11"/>
        <v>0.86475283478967246</v>
      </c>
    </row>
    <row r="124" spans="1:25" x14ac:dyDescent="0.25">
      <c r="A124" s="111">
        <f>Données!A124</f>
        <v>5609</v>
      </c>
      <c r="B124" s="119" t="str">
        <f>Données!B124</f>
        <v>Rivaz</v>
      </c>
      <c r="C124" s="249">
        <f>Données!C124</f>
        <v>330</v>
      </c>
      <c r="D124" s="250">
        <f>Données!D124</f>
        <v>62</v>
      </c>
      <c r="E124" s="251">
        <f>Données!E124</f>
        <v>1</v>
      </c>
      <c r="F124" s="252">
        <f>Données!F124</f>
        <v>790220.02</v>
      </c>
      <c r="G124" s="252">
        <f>Données!G124</f>
        <v>159507.35</v>
      </c>
      <c r="H124" s="252">
        <f>Données!H124</f>
        <v>7702.95</v>
      </c>
      <c r="I124" s="252">
        <f>Données!I124</f>
        <v>1370.1</v>
      </c>
      <c r="J124" s="252">
        <f>Données!J124</f>
        <v>0</v>
      </c>
      <c r="K124" s="252">
        <f>Données!K124</f>
        <v>0</v>
      </c>
      <c r="L124" s="252">
        <f>Données!L124</f>
        <v>-1285.3900000000001</v>
      </c>
      <c r="M124" s="252">
        <f>Données!M124</f>
        <v>0</v>
      </c>
      <c r="N124" s="252">
        <f>Données!N124</f>
        <v>844.69</v>
      </c>
      <c r="O124" s="252">
        <f>Données!O124</f>
        <v>65029.3</v>
      </c>
      <c r="P124" s="252">
        <f>Données!P124</f>
        <v>15900.33</v>
      </c>
      <c r="Q124" s="252">
        <f>Données!Q124</f>
        <v>-3228.6</v>
      </c>
      <c r="R124" s="252">
        <f>Données!R124</f>
        <v>-495.36</v>
      </c>
      <c r="S124" s="244"/>
      <c r="T124" s="236">
        <f t="shared" si="6"/>
        <v>1040495.4171722698</v>
      </c>
      <c r="U124" s="253">
        <f t="shared" si="7"/>
        <v>65029.3</v>
      </c>
      <c r="V124" s="253">
        <f t="shared" si="8"/>
        <v>12176.369999999999</v>
      </c>
      <c r="W124" s="254">
        <f t="shared" si="9"/>
        <v>1117701.0871722698</v>
      </c>
      <c r="X124" s="236">
        <f t="shared" si="10"/>
        <v>3386.9729914311206</v>
      </c>
      <c r="Y124" s="255">
        <f t="shared" si="11"/>
        <v>0.97812120354916099</v>
      </c>
    </row>
    <row r="125" spans="1:25" x14ac:dyDescent="0.25">
      <c r="A125" s="111">
        <f>Données!A125</f>
        <v>5610</v>
      </c>
      <c r="B125" s="119" t="str">
        <f>Données!B125</f>
        <v>St-Saphorin (Lavaux)</v>
      </c>
      <c r="C125" s="249">
        <f>Données!C125</f>
        <v>393</v>
      </c>
      <c r="D125" s="250">
        <f>Données!D125</f>
        <v>74</v>
      </c>
      <c r="E125" s="251">
        <f>Données!E125</f>
        <v>1.2</v>
      </c>
      <c r="F125" s="252">
        <f>Données!F125</f>
        <v>1175066.97</v>
      </c>
      <c r="G125" s="252">
        <f>Données!G125</f>
        <v>333782.34000000003</v>
      </c>
      <c r="H125" s="252">
        <f>Données!H125</f>
        <v>16381.4</v>
      </c>
      <c r="I125" s="252">
        <f>Données!I125</f>
        <v>6391.15</v>
      </c>
      <c r="J125" s="252">
        <f>Données!J125</f>
        <v>-1727.2</v>
      </c>
      <c r="K125" s="252">
        <f>Données!K125</f>
        <v>0</v>
      </c>
      <c r="L125" s="252">
        <f>Données!L125</f>
        <v>-1815.35</v>
      </c>
      <c r="M125" s="252">
        <f>Données!M125</f>
        <v>0</v>
      </c>
      <c r="N125" s="252">
        <f>Données!N125</f>
        <v>2120.09</v>
      </c>
      <c r="O125" s="252">
        <f>Données!O125</f>
        <v>133311.75</v>
      </c>
      <c r="P125" s="252">
        <f>Données!P125</f>
        <v>14557.18</v>
      </c>
      <c r="Q125" s="252">
        <f>Données!Q125</f>
        <v>6811.15</v>
      </c>
      <c r="R125" s="252">
        <f>Données!R125</f>
        <v>-1456.1</v>
      </c>
      <c r="S125" s="244"/>
      <c r="T125" s="236">
        <f t="shared" si="6"/>
        <v>1391937.1204896495</v>
      </c>
      <c r="U125" s="253">
        <f t="shared" si="7"/>
        <v>111093.125</v>
      </c>
      <c r="V125" s="253">
        <f t="shared" si="8"/>
        <v>19912.230000000003</v>
      </c>
      <c r="W125" s="254">
        <f t="shared" si="9"/>
        <v>1522942.4754896495</v>
      </c>
      <c r="X125" s="236">
        <f t="shared" si="10"/>
        <v>3875.1716933578869</v>
      </c>
      <c r="Y125" s="255">
        <f t="shared" si="11"/>
        <v>1.1191077136594698</v>
      </c>
    </row>
    <row r="126" spans="1:25" x14ac:dyDescent="0.25">
      <c r="A126" s="111">
        <f>Données!A126</f>
        <v>5611</v>
      </c>
      <c r="B126" s="119" t="str">
        <f>Données!B126</f>
        <v>Savigny</v>
      </c>
      <c r="C126" s="249">
        <f>Données!C126</f>
        <v>3598</v>
      </c>
      <c r="D126" s="250">
        <f>Données!D126</f>
        <v>69</v>
      </c>
      <c r="E126" s="251">
        <f>Données!E126</f>
        <v>1.2</v>
      </c>
      <c r="F126" s="252">
        <f>Données!F126</f>
        <v>7913654.29</v>
      </c>
      <c r="G126" s="252">
        <f>Données!G126</f>
        <v>1380085.12</v>
      </c>
      <c r="H126" s="252">
        <f>Données!H126</f>
        <v>200482.2</v>
      </c>
      <c r="I126" s="252">
        <f>Données!I126</f>
        <v>25656.3</v>
      </c>
      <c r="J126" s="252">
        <f>Données!J126</f>
        <v>61535.8</v>
      </c>
      <c r="K126" s="252">
        <f>Données!K126</f>
        <v>26361.01</v>
      </c>
      <c r="L126" s="252">
        <f>Données!L126</f>
        <v>-140276.68</v>
      </c>
      <c r="M126" s="252">
        <f>Données!M126</f>
        <v>0</v>
      </c>
      <c r="N126" s="252">
        <f>Données!N126</f>
        <v>21053.18</v>
      </c>
      <c r="O126" s="252">
        <f>Données!O126</f>
        <v>909058.15</v>
      </c>
      <c r="P126" s="252">
        <f>Données!P126</f>
        <v>165820.37</v>
      </c>
      <c r="Q126" s="252">
        <f>Données!Q126</f>
        <v>27838.400000000001</v>
      </c>
      <c r="R126" s="252">
        <f>Données!R126</f>
        <v>-9153.65</v>
      </c>
      <c r="S126" s="244"/>
      <c r="T126" s="236">
        <f t="shared" si="6"/>
        <v>9256656.0047249161</v>
      </c>
      <c r="U126" s="253">
        <f t="shared" si="7"/>
        <v>757548.45833333337</v>
      </c>
      <c r="V126" s="253">
        <f t="shared" si="8"/>
        <v>184505.12</v>
      </c>
      <c r="W126" s="254">
        <f t="shared" si="9"/>
        <v>10198709.583058249</v>
      </c>
      <c r="X126" s="236">
        <f t="shared" si="10"/>
        <v>2834.5496339795022</v>
      </c>
      <c r="Y126" s="255">
        <f t="shared" si="11"/>
        <v>0.81858730687319925</v>
      </c>
    </row>
    <row r="127" spans="1:25" x14ac:dyDescent="0.25">
      <c r="A127" s="111">
        <f>Données!A127</f>
        <v>5613</v>
      </c>
      <c r="B127" s="119" t="str">
        <f>Données!B127</f>
        <v>Bourg-en-Lavaux</v>
      </c>
      <c r="C127" s="249">
        <f>Données!C127</f>
        <v>5558</v>
      </c>
      <c r="D127" s="250">
        <f>Données!D127</f>
        <v>62.5</v>
      </c>
      <c r="E127" s="251">
        <f>Données!E127</f>
        <v>1.5</v>
      </c>
      <c r="F127" s="252">
        <f>Données!F127</f>
        <v>18057600.289999999</v>
      </c>
      <c r="G127" s="252">
        <f>Données!G127</f>
        <v>5090680.43</v>
      </c>
      <c r="H127" s="252">
        <f>Données!H127</f>
        <v>251879.05</v>
      </c>
      <c r="I127" s="252">
        <f>Données!I127</f>
        <v>34217.85</v>
      </c>
      <c r="J127" s="252">
        <f>Données!J127</f>
        <v>226561.3</v>
      </c>
      <c r="K127" s="252">
        <f>Données!K127</f>
        <v>47383.23</v>
      </c>
      <c r="L127" s="252">
        <f>Données!L127</f>
        <v>-234687.46</v>
      </c>
      <c r="M127" s="252">
        <f>Données!M127</f>
        <v>0</v>
      </c>
      <c r="N127" s="252">
        <f>Données!N127</f>
        <v>26635.22</v>
      </c>
      <c r="O127" s="252">
        <f>Données!O127</f>
        <v>2581603.7999999998</v>
      </c>
      <c r="P127" s="252">
        <f>Données!P127</f>
        <v>474664.69</v>
      </c>
      <c r="Q127" s="252">
        <f>Données!Q127</f>
        <v>44800.1</v>
      </c>
      <c r="R127" s="252">
        <f>Données!R127</f>
        <v>-34627.800000000003</v>
      </c>
      <c r="S127" s="244"/>
      <c r="T127" s="236">
        <f t="shared" si="6"/>
        <v>25310232.945221297</v>
      </c>
      <c r="U127" s="253">
        <f t="shared" si="7"/>
        <v>1721069.2</v>
      </c>
      <c r="V127" s="253">
        <f t="shared" si="8"/>
        <v>484836.99</v>
      </c>
      <c r="W127" s="254">
        <f t="shared" si="9"/>
        <v>27516139.135221295</v>
      </c>
      <c r="X127" s="236">
        <f t="shared" si="10"/>
        <v>4950.7267245810172</v>
      </c>
      <c r="Y127" s="255">
        <f t="shared" si="11"/>
        <v>1.4297163852623707</v>
      </c>
    </row>
    <row r="128" spans="1:25" x14ac:dyDescent="0.25">
      <c r="A128" s="111">
        <f>Données!A128</f>
        <v>5621</v>
      </c>
      <c r="B128" s="119" t="str">
        <f>Données!B128</f>
        <v>Aclens</v>
      </c>
      <c r="C128" s="249">
        <f>Données!C128</f>
        <v>609</v>
      </c>
      <c r="D128" s="250">
        <f>Données!D128</f>
        <v>60</v>
      </c>
      <c r="E128" s="251">
        <f>Données!E128</f>
        <v>1.1000000000000001</v>
      </c>
      <c r="F128" s="252">
        <f>Données!F128</f>
        <v>1224483.6599999999</v>
      </c>
      <c r="G128" s="252">
        <f>Données!G128</f>
        <v>144152.67000000001</v>
      </c>
      <c r="H128" s="252">
        <f>Données!H128</f>
        <v>447139.1</v>
      </c>
      <c r="I128" s="252">
        <f>Données!I128</f>
        <v>24693.45</v>
      </c>
      <c r="J128" s="252">
        <f>Données!J128</f>
        <v>0</v>
      </c>
      <c r="K128" s="252">
        <f>Données!K128</f>
        <v>884.54</v>
      </c>
      <c r="L128" s="252">
        <f>Données!L128</f>
        <v>-9326.98</v>
      </c>
      <c r="M128" s="252">
        <f>Données!M128</f>
        <v>0</v>
      </c>
      <c r="N128" s="252">
        <f>Données!N128</f>
        <v>43926.95</v>
      </c>
      <c r="O128" s="252">
        <f>Données!O128</f>
        <v>359058.3</v>
      </c>
      <c r="P128" s="252">
        <f>Données!P128</f>
        <v>81289.8</v>
      </c>
      <c r="Q128" s="252">
        <f>Données!Q128</f>
        <v>37132.050000000003</v>
      </c>
      <c r="R128" s="252">
        <f>Données!R128</f>
        <v>-181.15</v>
      </c>
      <c r="S128" s="244"/>
      <c r="T128" s="236">
        <f t="shared" si="6"/>
        <v>2104621.9840026</v>
      </c>
      <c r="U128" s="253">
        <f t="shared" si="7"/>
        <v>326416.63636363635</v>
      </c>
      <c r="V128" s="253">
        <f t="shared" si="8"/>
        <v>118240.70000000001</v>
      </c>
      <c r="W128" s="254">
        <f t="shared" si="9"/>
        <v>2549279.3203662364</v>
      </c>
      <c r="X128" s="236">
        <f t="shared" si="10"/>
        <v>4186.0087362335571</v>
      </c>
      <c r="Y128" s="255">
        <f t="shared" si="11"/>
        <v>1.2088740930355115</v>
      </c>
    </row>
    <row r="129" spans="1:25" x14ac:dyDescent="0.25">
      <c r="A129" s="111">
        <f>Données!A129</f>
        <v>5622</v>
      </c>
      <c r="B129" s="119" t="str">
        <f>Données!B129</f>
        <v>Bremblens</v>
      </c>
      <c r="C129" s="249">
        <f>Données!C129</f>
        <v>596</v>
      </c>
      <c r="D129" s="250">
        <f>Données!D129</f>
        <v>68</v>
      </c>
      <c r="E129" s="251">
        <f>Données!E129</f>
        <v>1</v>
      </c>
      <c r="F129" s="252">
        <f>Données!F129</f>
        <v>1814456.55</v>
      </c>
      <c r="G129" s="252">
        <f>Données!G129</f>
        <v>324075.71000000002</v>
      </c>
      <c r="H129" s="252">
        <f>Données!H129</f>
        <v>101773.35</v>
      </c>
      <c r="I129" s="252">
        <f>Données!I129</f>
        <v>2832.8</v>
      </c>
      <c r="J129" s="252">
        <f>Données!J129</f>
        <v>0</v>
      </c>
      <c r="K129" s="252">
        <f>Données!K129</f>
        <v>0</v>
      </c>
      <c r="L129" s="252">
        <f>Données!L129</f>
        <v>-20455.89</v>
      </c>
      <c r="M129" s="252">
        <f>Données!M129</f>
        <v>0</v>
      </c>
      <c r="N129" s="252">
        <f>Données!N129</f>
        <v>9738.69</v>
      </c>
      <c r="O129" s="252">
        <f>Données!O129</f>
        <v>171286.05</v>
      </c>
      <c r="P129" s="252">
        <f>Données!P129</f>
        <v>23398.2</v>
      </c>
      <c r="Q129" s="252">
        <f>Données!Q129</f>
        <v>6741.2</v>
      </c>
      <c r="R129" s="252">
        <f>Données!R129</f>
        <v>-472.78</v>
      </c>
      <c r="S129" s="244"/>
      <c r="T129" s="236">
        <f t="shared" si="6"/>
        <v>2209889.3889329736</v>
      </c>
      <c r="U129" s="253">
        <f t="shared" si="7"/>
        <v>171286.05</v>
      </c>
      <c r="V129" s="253">
        <f t="shared" si="8"/>
        <v>29666.620000000003</v>
      </c>
      <c r="W129" s="254">
        <f t="shared" si="9"/>
        <v>2410842.0589329735</v>
      </c>
      <c r="X129" s="236">
        <f t="shared" si="10"/>
        <v>4045.0370116325057</v>
      </c>
      <c r="Y129" s="255">
        <f t="shared" si="11"/>
        <v>1.1681629821757469</v>
      </c>
    </row>
    <row r="130" spans="1:25" x14ac:dyDescent="0.25">
      <c r="A130" s="111">
        <f>Données!A130</f>
        <v>5623</v>
      </c>
      <c r="B130" s="119" t="str">
        <f>Données!B130</f>
        <v>Buchillon</v>
      </c>
      <c r="C130" s="249">
        <f>Données!C130</f>
        <v>682</v>
      </c>
      <c r="D130" s="250">
        <f>Données!D130</f>
        <v>52</v>
      </c>
      <c r="E130" s="251">
        <f>Données!E130</f>
        <v>1</v>
      </c>
      <c r="F130" s="252">
        <f>Données!F130</f>
        <v>3361647.26</v>
      </c>
      <c r="G130" s="252">
        <f>Données!G130</f>
        <v>1520163.04</v>
      </c>
      <c r="H130" s="252">
        <f>Données!H130</f>
        <v>89134.1</v>
      </c>
      <c r="I130" s="252">
        <f>Données!I130</f>
        <v>162938.9</v>
      </c>
      <c r="J130" s="252">
        <f>Données!J130</f>
        <v>177691.85</v>
      </c>
      <c r="K130" s="252">
        <f>Données!K130</f>
        <v>1288.27</v>
      </c>
      <c r="L130" s="252">
        <f>Données!L130</f>
        <v>-3642.52</v>
      </c>
      <c r="M130" s="252">
        <f>Données!M130</f>
        <v>0</v>
      </c>
      <c r="N130" s="252">
        <f>Données!N130</f>
        <v>23467.64</v>
      </c>
      <c r="O130" s="252">
        <f>Données!O130</f>
        <v>397868.35</v>
      </c>
      <c r="P130" s="252">
        <f>Données!P130</f>
        <v>-49163.45</v>
      </c>
      <c r="Q130" s="252">
        <f>Données!Q130</f>
        <v>2581.8000000000002</v>
      </c>
      <c r="R130" s="252">
        <f>Données!R130</f>
        <v>-44811.37</v>
      </c>
      <c r="S130" s="244"/>
      <c r="T130" s="236">
        <f t="shared" si="6"/>
        <v>6903132.1076627411</v>
      </c>
      <c r="U130" s="253">
        <f t="shared" si="7"/>
        <v>397868.35</v>
      </c>
      <c r="V130" s="253">
        <f t="shared" si="8"/>
        <v>-91393.01999999999</v>
      </c>
      <c r="W130" s="254">
        <f t="shared" si="9"/>
        <v>7209607.4376627412</v>
      </c>
      <c r="X130" s="236">
        <f t="shared" si="10"/>
        <v>10571.271902731292</v>
      </c>
      <c r="Y130" s="255">
        <f t="shared" si="11"/>
        <v>3.0528691025008547</v>
      </c>
    </row>
    <row r="131" spans="1:25" x14ac:dyDescent="0.25">
      <c r="A131" s="111">
        <f>Données!A131</f>
        <v>5624</v>
      </c>
      <c r="B131" s="119" t="str">
        <f>Données!B131</f>
        <v>Bussigny</v>
      </c>
      <c r="C131" s="249">
        <f>Données!C131</f>
        <v>12138</v>
      </c>
      <c r="D131" s="250">
        <f>Données!D131</f>
        <v>62.5</v>
      </c>
      <c r="E131" s="251">
        <f>Données!E131</f>
        <v>1.25</v>
      </c>
      <c r="F131" s="252">
        <f>Données!F131</f>
        <v>18667988.489999998</v>
      </c>
      <c r="G131" s="252">
        <f>Données!G131</f>
        <v>1809506.35</v>
      </c>
      <c r="H131" s="252">
        <f>Données!H131</f>
        <v>1895066.2</v>
      </c>
      <c r="I131" s="252">
        <f>Données!I131</f>
        <v>219972</v>
      </c>
      <c r="J131" s="252">
        <f>Données!J131</f>
        <v>0</v>
      </c>
      <c r="K131" s="252">
        <f>Données!K131</f>
        <v>37240.11</v>
      </c>
      <c r="L131" s="252">
        <f>Données!L131</f>
        <v>-367823.6</v>
      </c>
      <c r="M131" s="252">
        <f>Données!M131</f>
        <v>0</v>
      </c>
      <c r="N131" s="252">
        <f>Données!N131</f>
        <v>196715.49</v>
      </c>
      <c r="O131" s="252">
        <f>Données!O131</f>
        <v>3451791.85</v>
      </c>
      <c r="P131" s="252">
        <f>Données!P131</f>
        <v>1489134.9</v>
      </c>
      <c r="Q131" s="252">
        <f>Données!Q131</f>
        <v>507525.5</v>
      </c>
      <c r="R131" s="252">
        <f>Données!R131</f>
        <v>-7744.95</v>
      </c>
      <c r="S131" s="244"/>
      <c r="T131" s="236">
        <f t="shared" si="6"/>
        <v>24188404.8982439</v>
      </c>
      <c r="U131" s="253">
        <f t="shared" si="7"/>
        <v>2761433.48</v>
      </c>
      <c r="V131" s="253">
        <f t="shared" si="8"/>
        <v>1988915.45</v>
      </c>
      <c r="W131" s="254">
        <f t="shared" si="9"/>
        <v>28938753.8282439</v>
      </c>
      <c r="X131" s="236">
        <f t="shared" si="10"/>
        <v>2384.1451497976518</v>
      </c>
      <c r="Y131" s="255">
        <f t="shared" si="11"/>
        <v>0.68851535847961554</v>
      </c>
    </row>
    <row r="132" spans="1:25" x14ac:dyDescent="0.25">
      <c r="A132" s="111">
        <f>Données!A132</f>
        <v>5627</v>
      </c>
      <c r="B132" s="119" t="str">
        <f>Données!B132</f>
        <v>Chavannes-près-Renens</v>
      </c>
      <c r="C132" s="249">
        <f>Données!C132</f>
        <v>10735</v>
      </c>
      <c r="D132" s="250">
        <f>Données!D132</f>
        <v>77.5</v>
      </c>
      <c r="E132" s="251">
        <f>Données!E132</f>
        <v>1.5</v>
      </c>
      <c r="F132" s="252">
        <f>Données!F132</f>
        <v>13233540.02</v>
      </c>
      <c r="G132" s="252">
        <f>Données!G132</f>
        <v>509627.02</v>
      </c>
      <c r="H132" s="252">
        <f>Données!H132</f>
        <v>2069641.8</v>
      </c>
      <c r="I132" s="252">
        <f>Données!I132</f>
        <v>235751.9</v>
      </c>
      <c r="J132" s="252">
        <f>Données!J132</f>
        <v>0</v>
      </c>
      <c r="K132" s="252">
        <f>Données!K132</f>
        <v>75596.03</v>
      </c>
      <c r="L132" s="252">
        <f>Données!L132</f>
        <v>-395461.3</v>
      </c>
      <c r="M132" s="252">
        <f>Données!M132</f>
        <v>0</v>
      </c>
      <c r="N132" s="252">
        <f>Données!N132</f>
        <v>214628.92</v>
      </c>
      <c r="O132" s="252">
        <f>Données!O132</f>
        <v>1969604.25</v>
      </c>
      <c r="P132" s="252">
        <f>Données!P132</f>
        <v>1474463.83</v>
      </c>
      <c r="Q132" s="252">
        <f>Données!Q132</f>
        <v>329914.05</v>
      </c>
      <c r="R132" s="252">
        <f>Données!R132</f>
        <v>-4945.3999999999996</v>
      </c>
      <c r="S132" s="244"/>
      <c r="T132" s="236">
        <f t="shared" si="6"/>
        <v>13847790.649870696</v>
      </c>
      <c r="U132" s="253">
        <f t="shared" si="7"/>
        <v>1313069.5</v>
      </c>
      <c r="V132" s="253">
        <f t="shared" si="8"/>
        <v>1799432.4800000002</v>
      </c>
      <c r="W132" s="254">
        <f t="shared" si="9"/>
        <v>16960292.629870694</v>
      </c>
      <c r="X132" s="236">
        <f t="shared" si="10"/>
        <v>1579.9061602115225</v>
      </c>
      <c r="Y132" s="255">
        <f t="shared" si="11"/>
        <v>0.45625982812099874</v>
      </c>
    </row>
    <row r="133" spans="1:25" x14ac:dyDescent="0.25">
      <c r="A133" s="111">
        <f>Données!A133</f>
        <v>5628</v>
      </c>
      <c r="B133" s="119" t="str">
        <f>Données!B133</f>
        <v>Chigny</v>
      </c>
      <c r="C133" s="249">
        <f>Données!C133</f>
        <v>410</v>
      </c>
      <c r="D133" s="250">
        <f>Données!D133</f>
        <v>62</v>
      </c>
      <c r="E133" s="251">
        <f>Données!E133</f>
        <v>1</v>
      </c>
      <c r="F133" s="252">
        <f>Données!F133</f>
        <v>1684003.64</v>
      </c>
      <c r="G133" s="252">
        <f>Données!G133</f>
        <v>0</v>
      </c>
      <c r="H133" s="252">
        <f>Données!H133</f>
        <v>8460</v>
      </c>
      <c r="I133" s="252">
        <f>Données!I133</f>
        <v>1726.1</v>
      </c>
      <c r="J133" s="252">
        <f>Données!J133</f>
        <v>0</v>
      </c>
      <c r="K133" s="252">
        <f>Données!K133</f>
        <v>0</v>
      </c>
      <c r="L133" s="252">
        <f>Données!L133</f>
        <v>-20199.52</v>
      </c>
      <c r="M133" s="252">
        <f>Données!M133</f>
        <v>0</v>
      </c>
      <c r="N133" s="252">
        <f>Données!N133</f>
        <v>948.31</v>
      </c>
      <c r="O133" s="252">
        <f>Données!O133</f>
        <v>119976.3</v>
      </c>
      <c r="P133" s="252">
        <f>Données!P133</f>
        <v>19331.53</v>
      </c>
      <c r="Q133" s="252">
        <f>Données!Q133</f>
        <v>1308</v>
      </c>
      <c r="R133" s="252">
        <f>Données!R133</f>
        <v>-2526.8000000000002</v>
      </c>
      <c r="S133" s="244"/>
      <c r="T133" s="236">
        <f t="shared" si="6"/>
        <v>1818488.2233053977</v>
      </c>
      <c r="U133" s="253">
        <f t="shared" si="7"/>
        <v>119976.3</v>
      </c>
      <c r="V133" s="253">
        <f t="shared" si="8"/>
        <v>18112.73</v>
      </c>
      <c r="W133" s="254">
        <f t="shared" si="9"/>
        <v>1956577.2533053977</v>
      </c>
      <c r="X133" s="236">
        <f t="shared" si="10"/>
        <v>4772.1396422082871</v>
      </c>
      <c r="Y133" s="255">
        <f t="shared" si="11"/>
        <v>1.3781423655135627</v>
      </c>
    </row>
    <row r="134" spans="1:25" x14ac:dyDescent="0.25">
      <c r="A134" s="111">
        <f>Données!A134</f>
        <v>5629</v>
      </c>
      <c r="B134" s="119" t="str">
        <f>Données!B134</f>
        <v>Clarmont</v>
      </c>
      <c r="C134" s="249">
        <f>Données!C134</f>
        <v>232</v>
      </c>
      <c r="D134" s="250">
        <f>Données!D134</f>
        <v>72</v>
      </c>
      <c r="E134" s="251">
        <f>Données!E134</f>
        <v>1</v>
      </c>
      <c r="F134" s="252">
        <f>Données!F134</f>
        <v>533099.67000000004</v>
      </c>
      <c r="G134" s="252">
        <f>Données!G134</f>
        <v>69370.649999999994</v>
      </c>
      <c r="H134" s="252">
        <f>Données!H134</f>
        <v>2551.3000000000002</v>
      </c>
      <c r="I134" s="252">
        <f>Données!I134</f>
        <v>1026.25</v>
      </c>
      <c r="J134" s="252">
        <f>Données!J134</f>
        <v>0</v>
      </c>
      <c r="K134" s="252">
        <f>Données!K134</f>
        <v>0</v>
      </c>
      <c r="L134" s="252">
        <f>Données!L134</f>
        <v>-99.65</v>
      </c>
      <c r="M134" s="252">
        <f>Données!M134</f>
        <v>0</v>
      </c>
      <c r="N134" s="252">
        <f>Données!N134</f>
        <v>333.06</v>
      </c>
      <c r="O134" s="252">
        <f>Données!O134</f>
        <v>42253</v>
      </c>
      <c r="P134" s="252">
        <f>Données!P134</f>
        <v>14220.61</v>
      </c>
      <c r="Q134" s="252">
        <f>Données!Q134</f>
        <v>2493</v>
      </c>
      <c r="R134" s="252">
        <f>Données!R134</f>
        <v>-319.7</v>
      </c>
      <c r="S134" s="244"/>
      <c r="T134" s="236">
        <f t="shared" si="6"/>
        <v>566819.74668590445</v>
      </c>
      <c r="U134" s="253">
        <f t="shared" si="7"/>
        <v>42253</v>
      </c>
      <c r="V134" s="253">
        <f t="shared" si="8"/>
        <v>16393.91</v>
      </c>
      <c r="W134" s="254">
        <f t="shared" si="9"/>
        <v>625466.65668590448</v>
      </c>
      <c r="X134" s="236">
        <f t="shared" si="10"/>
        <v>2695.9769684737262</v>
      </c>
      <c r="Y134" s="255">
        <f t="shared" si="11"/>
        <v>0.77856901835822234</v>
      </c>
    </row>
    <row r="135" spans="1:25" x14ac:dyDescent="0.25">
      <c r="A135" s="111">
        <f>Données!A135</f>
        <v>5631</v>
      </c>
      <c r="B135" s="119" t="str">
        <f>Données!B135</f>
        <v>Denens</v>
      </c>
      <c r="C135" s="249">
        <f>Données!C135</f>
        <v>748</v>
      </c>
      <c r="D135" s="250">
        <f>Données!D135</f>
        <v>65</v>
      </c>
      <c r="E135" s="251">
        <f>Données!E135</f>
        <v>1</v>
      </c>
      <c r="F135" s="252">
        <f>Données!F135</f>
        <v>2273907.21</v>
      </c>
      <c r="G135" s="252">
        <f>Données!G135</f>
        <v>386750.7</v>
      </c>
      <c r="H135" s="252">
        <f>Données!H135</f>
        <v>2646.45</v>
      </c>
      <c r="I135" s="252">
        <f>Données!I135</f>
        <v>2769.55</v>
      </c>
      <c r="J135" s="252">
        <f>Données!J135</f>
        <v>247594.93</v>
      </c>
      <c r="K135" s="252">
        <f>Données!K135</f>
        <v>0</v>
      </c>
      <c r="L135" s="252">
        <f>Données!L135</f>
        <v>-3343.1</v>
      </c>
      <c r="M135" s="252">
        <f>Données!M135</f>
        <v>0</v>
      </c>
      <c r="N135" s="252">
        <f>Données!N135</f>
        <v>504.22</v>
      </c>
      <c r="O135" s="252">
        <f>Données!O135</f>
        <v>228798.9</v>
      </c>
      <c r="P135" s="252">
        <f>Données!P135</f>
        <v>4329.99</v>
      </c>
      <c r="Q135" s="252">
        <f>Données!Q135</f>
        <v>3209.15</v>
      </c>
      <c r="R135" s="252">
        <f>Données!R135</f>
        <v>-3738.45</v>
      </c>
      <c r="S135" s="244"/>
      <c r="T135" s="236">
        <f t="shared" si="6"/>
        <v>3014441.0056729331</v>
      </c>
      <c r="U135" s="253">
        <f t="shared" si="7"/>
        <v>228798.9</v>
      </c>
      <c r="V135" s="253">
        <f t="shared" si="8"/>
        <v>3800.6899999999996</v>
      </c>
      <c r="W135" s="254">
        <f t="shared" si="9"/>
        <v>3247040.5956729329</v>
      </c>
      <c r="X135" s="236">
        <f t="shared" si="10"/>
        <v>4340.9633631991082</v>
      </c>
      <c r="Y135" s="255">
        <f t="shared" si="11"/>
        <v>1.2536233150123348</v>
      </c>
    </row>
    <row r="136" spans="1:25" x14ac:dyDescent="0.25">
      <c r="A136" s="111">
        <f>Données!A136</f>
        <v>5632</v>
      </c>
      <c r="B136" s="119" t="str">
        <f>Données!B136</f>
        <v>Denges</v>
      </c>
      <c r="C136" s="249">
        <f>Données!C136</f>
        <v>1844</v>
      </c>
      <c r="D136" s="250">
        <f>Données!D136</f>
        <v>62</v>
      </c>
      <c r="E136" s="251">
        <f>Données!E136</f>
        <v>1</v>
      </c>
      <c r="F136" s="252">
        <f>Données!F136</f>
        <v>3774127.62</v>
      </c>
      <c r="G136" s="252">
        <f>Données!G136</f>
        <v>652386.30000000005</v>
      </c>
      <c r="H136" s="252">
        <f>Données!H136</f>
        <v>169278.45</v>
      </c>
      <c r="I136" s="252">
        <f>Données!I136</f>
        <v>17106.75</v>
      </c>
      <c r="J136" s="252">
        <f>Données!J136</f>
        <v>0</v>
      </c>
      <c r="K136" s="252">
        <f>Données!K136</f>
        <v>23655.200000000001</v>
      </c>
      <c r="L136" s="252">
        <f>Données!L136</f>
        <v>-30407.78</v>
      </c>
      <c r="M136" s="252">
        <f>Données!M136</f>
        <v>0</v>
      </c>
      <c r="N136" s="252">
        <f>Données!N136</f>
        <v>17352.2</v>
      </c>
      <c r="O136" s="252">
        <f>Données!O136</f>
        <v>430157.75</v>
      </c>
      <c r="P136" s="252">
        <f>Données!P136</f>
        <v>203888.81</v>
      </c>
      <c r="Q136" s="252">
        <f>Données!Q136</f>
        <v>14932.6</v>
      </c>
      <c r="R136" s="252">
        <f>Données!R136</f>
        <v>-2151.4499999999998</v>
      </c>
      <c r="S136" s="244"/>
      <c r="T136" s="236">
        <f t="shared" ref="T136:T199" si="12">(SUM(F136:N136)/D136*$T$4)</f>
        <v>5019753.1781404223</v>
      </c>
      <c r="U136" s="253">
        <f t="shared" ref="U136:U199" si="13">O136/E136*$U$4</f>
        <v>430157.75</v>
      </c>
      <c r="V136" s="253">
        <f t="shared" ref="V136:V199" si="14">SUM(P136:R136)</f>
        <v>216669.96</v>
      </c>
      <c r="W136" s="254">
        <f t="shared" ref="W136:W199" si="15">SUM(T136:V136)</f>
        <v>5666580.8881404223</v>
      </c>
      <c r="X136" s="236">
        <f t="shared" ref="X136:X199" si="16">W136/C136</f>
        <v>3072.9831280587973</v>
      </c>
      <c r="Y136" s="255">
        <f t="shared" ref="Y136:Y199" si="17">X136/$X$308</f>
        <v>0.88744432368003512</v>
      </c>
    </row>
    <row r="137" spans="1:25" x14ac:dyDescent="0.25">
      <c r="A137" s="111">
        <f>Données!A137</f>
        <v>5633</v>
      </c>
      <c r="B137" s="119" t="str">
        <f>Données!B137</f>
        <v>Echandens</v>
      </c>
      <c r="C137" s="249">
        <f>Données!C137</f>
        <v>3116</v>
      </c>
      <c r="D137" s="250">
        <f>Données!D137</f>
        <v>60.5</v>
      </c>
      <c r="E137" s="251">
        <f>Données!E137</f>
        <v>1</v>
      </c>
      <c r="F137" s="252">
        <f>Données!F137</f>
        <v>6180846.5199999996</v>
      </c>
      <c r="G137" s="252">
        <f>Données!G137</f>
        <v>1496919.08</v>
      </c>
      <c r="H137" s="252">
        <f>Données!H137</f>
        <v>403587.8</v>
      </c>
      <c r="I137" s="252">
        <f>Données!I137</f>
        <v>47811.45</v>
      </c>
      <c r="J137" s="252">
        <f>Données!J137</f>
        <v>0</v>
      </c>
      <c r="K137" s="252">
        <f>Données!K137</f>
        <v>5437.32</v>
      </c>
      <c r="L137" s="252">
        <f>Données!L137</f>
        <v>-29291.62</v>
      </c>
      <c r="M137" s="252">
        <f>Données!M137</f>
        <v>0</v>
      </c>
      <c r="N137" s="252">
        <f>Données!N137</f>
        <v>42024.639999999999</v>
      </c>
      <c r="O137" s="252">
        <f>Données!O137</f>
        <v>758064.15</v>
      </c>
      <c r="P137" s="252">
        <f>Données!P137</f>
        <v>219973.82</v>
      </c>
      <c r="Q137" s="252">
        <f>Données!Q137</f>
        <v>53352.2</v>
      </c>
      <c r="R137" s="252">
        <f>Données!R137</f>
        <v>-38281.4</v>
      </c>
      <c r="S137" s="244"/>
      <c r="T137" s="236">
        <f t="shared" si="12"/>
        <v>9064910.4592243806</v>
      </c>
      <c r="U137" s="253">
        <f t="shared" si="13"/>
        <v>758064.15</v>
      </c>
      <c r="V137" s="253">
        <f t="shared" si="14"/>
        <v>235044.62000000002</v>
      </c>
      <c r="W137" s="254">
        <f t="shared" si="15"/>
        <v>10058019.22922438</v>
      </c>
      <c r="X137" s="236">
        <f t="shared" si="16"/>
        <v>3227.8623970553208</v>
      </c>
      <c r="Y137" s="255">
        <f t="shared" si="17"/>
        <v>0.93217178308964899</v>
      </c>
    </row>
    <row r="138" spans="1:25" x14ac:dyDescent="0.25">
      <c r="A138" s="111">
        <f>Données!A138</f>
        <v>5634</v>
      </c>
      <c r="B138" s="119" t="str">
        <f>Données!B138</f>
        <v>Echichens</v>
      </c>
      <c r="C138" s="249">
        <f>Données!C138</f>
        <v>3241</v>
      </c>
      <c r="D138" s="250">
        <f>Données!D138</f>
        <v>66</v>
      </c>
      <c r="E138" s="251">
        <f>Données!E138</f>
        <v>1</v>
      </c>
      <c r="F138" s="252">
        <f>Données!F138</f>
        <v>8682448.6500000004</v>
      </c>
      <c r="G138" s="252">
        <f>Données!G138</f>
        <v>1650781.76</v>
      </c>
      <c r="H138" s="252">
        <f>Données!H138</f>
        <v>79757.399999999994</v>
      </c>
      <c r="I138" s="252">
        <f>Données!I138</f>
        <v>25090.65</v>
      </c>
      <c r="J138" s="252">
        <f>Données!J138</f>
        <v>38670</v>
      </c>
      <c r="K138" s="252">
        <f>Données!K138</f>
        <v>1081.31</v>
      </c>
      <c r="L138" s="252">
        <f>Données!L138</f>
        <v>-63093.93</v>
      </c>
      <c r="M138" s="252">
        <f>Données!M138</f>
        <v>0</v>
      </c>
      <c r="N138" s="252">
        <f>Données!N138</f>
        <v>9761.2099999999991</v>
      </c>
      <c r="O138" s="252">
        <f>Données!O138</f>
        <v>806860.65</v>
      </c>
      <c r="P138" s="252">
        <f>Données!P138</f>
        <v>103770.42</v>
      </c>
      <c r="Q138" s="252">
        <f>Données!Q138</f>
        <v>18683.400000000001</v>
      </c>
      <c r="R138" s="252">
        <f>Données!R138</f>
        <v>-15247.45</v>
      </c>
      <c r="S138" s="244"/>
      <c r="T138" s="236">
        <f t="shared" si="12"/>
        <v>10631988.164501572</v>
      </c>
      <c r="U138" s="253">
        <f t="shared" si="13"/>
        <v>806860.65</v>
      </c>
      <c r="V138" s="253">
        <f t="shared" si="14"/>
        <v>107206.37000000001</v>
      </c>
      <c r="W138" s="254">
        <f t="shared" si="15"/>
        <v>11546055.184501572</v>
      </c>
      <c r="X138" s="236">
        <f t="shared" si="16"/>
        <v>3562.497742826773</v>
      </c>
      <c r="Y138" s="255">
        <f t="shared" si="17"/>
        <v>1.0288108552003954</v>
      </c>
    </row>
    <row r="139" spans="1:25" x14ac:dyDescent="0.25">
      <c r="A139" s="111">
        <f>Données!A139</f>
        <v>5635</v>
      </c>
      <c r="B139" s="119" t="str">
        <f>Données!B139</f>
        <v>Ecublens</v>
      </c>
      <c r="C139" s="249">
        <f>Données!C139</f>
        <v>13758</v>
      </c>
      <c r="D139" s="250">
        <f>Données!D139</f>
        <v>62.5</v>
      </c>
      <c r="E139" s="251">
        <f>Données!E139</f>
        <v>1.2</v>
      </c>
      <c r="F139" s="252">
        <f>Données!F139</f>
        <v>19632597.940000001</v>
      </c>
      <c r="G139" s="252">
        <f>Données!G139</f>
        <v>3574377.62</v>
      </c>
      <c r="H139" s="252">
        <f>Données!H139</f>
        <v>6805818.7000000002</v>
      </c>
      <c r="I139" s="252">
        <f>Données!I139</f>
        <v>459771.55</v>
      </c>
      <c r="J139" s="252">
        <f>Données!J139</f>
        <v>97844.85</v>
      </c>
      <c r="K139" s="252">
        <f>Données!K139</f>
        <v>210919.92</v>
      </c>
      <c r="L139" s="252">
        <f>Données!L139</f>
        <v>-652784.30000000005</v>
      </c>
      <c r="M139" s="252">
        <f>Données!M139</f>
        <v>0</v>
      </c>
      <c r="N139" s="252">
        <f>Données!N139</f>
        <v>676423.03</v>
      </c>
      <c r="O139" s="252">
        <f>Données!O139</f>
        <v>3471022.95</v>
      </c>
      <c r="P139" s="252">
        <f>Données!P139</f>
        <v>1865422.47</v>
      </c>
      <c r="Q139" s="252">
        <f>Données!Q139</f>
        <v>525253.69999999995</v>
      </c>
      <c r="R139" s="252">
        <f>Données!R139</f>
        <v>-62853.279999999999</v>
      </c>
      <c r="S139" s="244"/>
      <c r="T139" s="236">
        <f t="shared" si="12"/>
        <v>33177531.666337073</v>
      </c>
      <c r="U139" s="253">
        <f t="shared" si="13"/>
        <v>2892519.1250000005</v>
      </c>
      <c r="V139" s="253">
        <f t="shared" si="14"/>
        <v>2327822.89</v>
      </c>
      <c r="W139" s="254">
        <f t="shared" si="15"/>
        <v>38397873.681337073</v>
      </c>
      <c r="X139" s="236">
        <f t="shared" si="16"/>
        <v>2790.9488066097597</v>
      </c>
      <c r="Y139" s="255">
        <f t="shared" si="17"/>
        <v>0.80599585903746918</v>
      </c>
    </row>
    <row r="140" spans="1:25" x14ac:dyDescent="0.25">
      <c r="A140" s="111">
        <f>Données!A140</f>
        <v>5636</v>
      </c>
      <c r="B140" s="119" t="str">
        <f>Données!B140</f>
        <v>Etoy</v>
      </c>
      <c r="C140" s="249">
        <f>Données!C140</f>
        <v>3013</v>
      </c>
      <c r="D140" s="250">
        <f>Données!D140</f>
        <v>60</v>
      </c>
      <c r="E140" s="251">
        <f>Données!E140</f>
        <v>1</v>
      </c>
      <c r="F140" s="252">
        <f>Données!F140</f>
        <v>6738448.9500000002</v>
      </c>
      <c r="G140" s="252">
        <f>Données!G140</f>
        <v>1227717.74</v>
      </c>
      <c r="H140" s="252">
        <f>Données!H140</f>
        <v>6344012.1500000004</v>
      </c>
      <c r="I140" s="252">
        <f>Données!I140</f>
        <v>3017242.65</v>
      </c>
      <c r="J140" s="252">
        <f>Données!J140</f>
        <v>0</v>
      </c>
      <c r="K140" s="252">
        <f>Données!K140</f>
        <v>211058.38</v>
      </c>
      <c r="L140" s="252">
        <f>Données!L140</f>
        <v>-494320.47</v>
      </c>
      <c r="M140" s="252">
        <f>Données!M140</f>
        <v>0</v>
      </c>
      <c r="N140" s="252">
        <f>Données!N140</f>
        <v>871519.68</v>
      </c>
      <c r="O140" s="252">
        <f>Données!O140</f>
        <v>1223910.3999999999</v>
      </c>
      <c r="P140" s="252">
        <f>Données!P140</f>
        <v>353136.49</v>
      </c>
      <c r="Q140" s="252">
        <f>Données!Q140</f>
        <v>219595.25</v>
      </c>
      <c r="R140" s="252">
        <f>Données!R140</f>
        <v>-4337.51</v>
      </c>
      <c r="S140" s="244"/>
      <c r="T140" s="236">
        <f t="shared" si="12"/>
        <v>20099503.671625592</v>
      </c>
      <c r="U140" s="253">
        <f t="shared" si="13"/>
        <v>1223910.3999999999</v>
      </c>
      <c r="V140" s="253">
        <f t="shared" si="14"/>
        <v>568394.23</v>
      </c>
      <c r="W140" s="254">
        <f t="shared" si="15"/>
        <v>21891808.301625591</v>
      </c>
      <c r="X140" s="236">
        <f t="shared" si="16"/>
        <v>7265.78436827932</v>
      </c>
      <c r="Y140" s="255">
        <f t="shared" si="17"/>
        <v>2.09828001847371</v>
      </c>
    </row>
    <row r="141" spans="1:25" x14ac:dyDescent="0.25">
      <c r="A141" s="111">
        <f>Données!A141</f>
        <v>5637</v>
      </c>
      <c r="B141" s="119" t="str">
        <f>Données!B141</f>
        <v>Lavigny</v>
      </c>
      <c r="C141" s="249">
        <f>Données!C141</f>
        <v>1108</v>
      </c>
      <c r="D141" s="250">
        <f>Données!D141</f>
        <v>73</v>
      </c>
      <c r="E141" s="251">
        <f>Données!E141</f>
        <v>1.5</v>
      </c>
      <c r="F141" s="252">
        <f>Données!F141</f>
        <v>2422996.98</v>
      </c>
      <c r="G141" s="252">
        <f>Données!G141</f>
        <v>279819.71999999997</v>
      </c>
      <c r="H141" s="252">
        <f>Données!H141</f>
        <v>74892.25</v>
      </c>
      <c r="I141" s="252">
        <f>Données!I141</f>
        <v>2542.75</v>
      </c>
      <c r="J141" s="252">
        <f>Données!J141</f>
        <v>0</v>
      </c>
      <c r="K141" s="252">
        <f>Données!K141</f>
        <v>5037.59</v>
      </c>
      <c r="L141" s="252">
        <f>Données!L141</f>
        <v>-110296.99</v>
      </c>
      <c r="M141" s="252">
        <f>Données!M141</f>
        <v>0</v>
      </c>
      <c r="N141" s="252">
        <f>Données!N141</f>
        <v>7209.09</v>
      </c>
      <c r="O141" s="252">
        <f>Données!O141</f>
        <v>316779.75</v>
      </c>
      <c r="P141" s="252">
        <f>Données!P141</f>
        <v>81127.78</v>
      </c>
      <c r="Q141" s="252">
        <f>Données!Q141</f>
        <v>9618.4500000000007</v>
      </c>
      <c r="R141" s="252">
        <f>Données!R141</f>
        <v>-1015.81</v>
      </c>
      <c r="S141" s="244"/>
      <c r="T141" s="236">
        <f t="shared" si="12"/>
        <v>2473271.7238383796</v>
      </c>
      <c r="U141" s="253">
        <f t="shared" si="13"/>
        <v>211186.5</v>
      </c>
      <c r="V141" s="253">
        <f t="shared" si="14"/>
        <v>89730.42</v>
      </c>
      <c r="W141" s="254">
        <f t="shared" si="15"/>
        <v>2774188.6438383795</v>
      </c>
      <c r="X141" s="236">
        <f t="shared" si="16"/>
        <v>2503.7803644750716</v>
      </c>
      <c r="Y141" s="255">
        <f t="shared" si="17"/>
        <v>0.72306471581526288</v>
      </c>
    </row>
    <row r="142" spans="1:25" x14ac:dyDescent="0.25">
      <c r="A142" s="111">
        <f>Données!A142</f>
        <v>5638</v>
      </c>
      <c r="B142" s="119" t="str">
        <f>Données!B142</f>
        <v>Lonay</v>
      </c>
      <c r="C142" s="249">
        <f>Données!C142</f>
        <v>2719</v>
      </c>
      <c r="D142" s="250">
        <f>Données!D142</f>
        <v>55</v>
      </c>
      <c r="E142" s="251">
        <f>Données!E142</f>
        <v>1</v>
      </c>
      <c r="F142" s="252">
        <f>Données!F142</f>
        <v>6099021.0099999998</v>
      </c>
      <c r="G142" s="252">
        <f>Données!G142</f>
        <v>1454276.99</v>
      </c>
      <c r="H142" s="252">
        <f>Données!H142</f>
        <v>353684.45</v>
      </c>
      <c r="I142" s="252">
        <f>Données!I142</f>
        <v>93407</v>
      </c>
      <c r="J142" s="252">
        <f>Données!J142</f>
        <v>105106.25</v>
      </c>
      <c r="K142" s="252">
        <f>Données!K142</f>
        <v>84866.89</v>
      </c>
      <c r="L142" s="252">
        <f>Données!L142</f>
        <v>-93479.07</v>
      </c>
      <c r="M142" s="252">
        <f>Données!M142</f>
        <v>0</v>
      </c>
      <c r="N142" s="252">
        <f>Données!N142</f>
        <v>41921.5</v>
      </c>
      <c r="O142" s="252">
        <f>Données!O142</f>
        <v>747999.2</v>
      </c>
      <c r="P142" s="252">
        <f>Données!P142</f>
        <v>151871.84</v>
      </c>
      <c r="Q142" s="252">
        <f>Données!Q142</f>
        <v>68351.100000000006</v>
      </c>
      <c r="R142" s="252">
        <f>Données!R142</f>
        <v>-2820.4</v>
      </c>
      <c r="S142" s="244"/>
      <c r="T142" s="236">
        <f t="shared" si="12"/>
        <v>9960961.557851959</v>
      </c>
      <c r="U142" s="253">
        <f t="shared" si="13"/>
        <v>747999.2</v>
      </c>
      <c r="V142" s="253">
        <f t="shared" si="14"/>
        <v>217402.54</v>
      </c>
      <c r="W142" s="254">
        <f t="shared" si="15"/>
        <v>10926363.297851957</v>
      </c>
      <c r="X142" s="236">
        <f t="shared" si="16"/>
        <v>4018.522728154453</v>
      </c>
      <c r="Y142" s="255">
        <f t="shared" si="17"/>
        <v>1.1605059435951592</v>
      </c>
    </row>
    <row r="143" spans="1:25" x14ac:dyDescent="0.25">
      <c r="A143" s="111">
        <f>Données!A143</f>
        <v>5639</v>
      </c>
      <c r="B143" s="119" t="str">
        <f>Données!B143</f>
        <v>Lully</v>
      </c>
      <c r="C143" s="249">
        <f>Données!C143</f>
        <v>824</v>
      </c>
      <c r="D143" s="250">
        <f>Données!D143</f>
        <v>58</v>
      </c>
      <c r="E143" s="251">
        <f>Données!E143</f>
        <v>1.25</v>
      </c>
      <c r="F143" s="252">
        <f>Données!F143</f>
        <v>2355334.2799999998</v>
      </c>
      <c r="G143" s="252">
        <f>Données!G143</f>
        <v>683602.85</v>
      </c>
      <c r="H143" s="252">
        <f>Données!H143</f>
        <v>82788.100000000006</v>
      </c>
      <c r="I143" s="252">
        <f>Données!I143</f>
        <v>3379.85</v>
      </c>
      <c r="J143" s="252">
        <f>Données!J143</f>
        <v>0</v>
      </c>
      <c r="K143" s="252">
        <f>Données!K143</f>
        <v>0</v>
      </c>
      <c r="L143" s="252">
        <f>Données!L143</f>
        <v>-6908.01</v>
      </c>
      <c r="M143" s="252">
        <f>Données!M143</f>
        <v>0</v>
      </c>
      <c r="N143" s="252">
        <f>Données!N143</f>
        <v>8022.12</v>
      </c>
      <c r="O143" s="252">
        <f>Données!O143</f>
        <v>279676.90000000002</v>
      </c>
      <c r="P143" s="252">
        <f>Données!P143</f>
        <v>95276.89</v>
      </c>
      <c r="Q143" s="252">
        <f>Données!Q143</f>
        <v>3763.85</v>
      </c>
      <c r="R143" s="252">
        <f>Données!R143</f>
        <v>-6112.7</v>
      </c>
      <c r="S143" s="244"/>
      <c r="T143" s="236">
        <f t="shared" si="12"/>
        <v>3628229.4181304001</v>
      </c>
      <c r="U143" s="253">
        <f t="shared" si="13"/>
        <v>223741.52000000002</v>
      </c>
      <c r="V143" s="253">
        <f t="shared" si="14"/>
        <v>92928.040000000008</v>
      </c>
      <c r="W143" s="254">
        <f t="shared" si="15"/>
        <v>3944898.9781304002</v>
      </c>
      <c r="X143" s="236">
        <f t="shared" si="16"/>
        <v>4787.4987598669904</v>
      </c>
      <c r="Y143" s="255">
        <f t="shared" si="17"/>
        <v>1.3825779127375268</v>
      </c>
    </row>
    <row r="144" spans="1:25" x14ac:dyDescent="0.25">
      <c r="A144" s="111">
        <f>Données!A144</f>
        <v>5640</v>
      </c>
      <c r="B144" s="119" t="str">
        <f>Données!B144</f>
        <v>Lussy-sur-Morges</v>
      </c>
      <c r="C144" s="249">
        <f>Données!C144</f>
        <v>721</v>
      </c>
      <c r="D144" s="250">
        <f>Données!D144</f>
        <v>61.5</v>
      </c>
      <c r="E144" s="251">
        <f>Données!E144</f>
        <v>1</v>
      </c>
      <c r="F144" s="252">
        <f>Données!F144</f>
        <v>2989685.12</v>
      </c>
      <c r="G144" s="252">
        <f>Données!G144</f>
        <v>636582.63</v>
      </c>
      <c r="H144" s="252">
        <f>Données!H144</f>
        <v>69828.800000000003</v>
      </c>
      <c r="I144" s="252">
        <f>Données!I144</f>
        <v>4955</v>
      </c>
      <c r="J144" s="252">
        <f>Données!J144</f>
        <v>88555.15</v>
      </c>
      <c r="K144" s="252">
        <f>Données!K144</f>
        <v>0</v>
      </c>
      <c r="L144" s="252">
        <f>Données!L144</f>
        <v>-7784.13</v>
      </c>
      <c r="M144" s="252">
        <f>Données!M144</f>
        <v>0</v>
      </c>
      <c r="N144" s="252">
        <f>Données!N144</f>
        <v>6962.27</v>
      </c>
      <c r="O144" s="252">
        <f>Données!O144</f>
        <v>226384.35</v>
      </c>
      <c r="P144" s="252">
        <f>Données!P144</f>
        <v>18849.43</v>
      </c>
      <c r="Q144" s="252">
        <f>Données!Q144</f>
        <v>10925.25</v>
      </c>
      <c r="R144" s="252">
        <f>Données!R144</f>
        <v>-15299.95</v>
      </c>
      <c r="S144" s="244"/>
      <c r="T144" s="236">
        <f t="shared" si="12"/>
        <v>4146943.6726769325</v>
      </c>
      <c r="U144" s="253">
        <f t="shared" si="13"/>
        <v>226384.35</v>
      </c>
      <c r="V144" s="253">
        <f t="shared" si="14"/>
        <v>14474.73</v>
      </c>
      <c r="W144" s="254">
        <f t="shared" si="15"/>
        <v>4387802.7526769331</v>
      </c>
      <c r="X144" s="236">
        <f t="shared" si="16"/>
        <v>6085.7181035741096</v>
      </c>
      <c r="Y144" s="255">
        <f t="shared" si="17"/>
        <v>1.7574896318891655</v>
      </c>
    </row>
    <row r="145" spans="1:25" x14ac:dyDescent="0.25">
      <c r="A145" s="111">
        <f>Données!A145</f>
        <v>5642</v>
      </c>
      <c r="B145" s="119" t="str">
        <f>Données!B145</f>
        <v>Morges</v>
      </c>
      <c r="C145" s="249">
        <f>Données!C145</f>
        <v>17813</v>
      </c>
      <c r="D145" s="250">
        <f>Données!D145</f>
        <v>67</v>
      </c>
      <c r="E145" s="251">
        <f>Données!E145</f>
        <v>1</v>
      </c>
      <c r="F145" s="252">
        <f>Données!F145</f>
        <v>39660506.460000001</v>
      </c>
      <c r="G145" s="252">
        <f>Données!G145</f>
        <v>6667022.6699999999</v>
      </c>
      <c r="H145" s="252">
        <f>Données!H145</f>
        <v>6798421.5499999998</v>
      </c>
      <c r="I145" s="252">
        <f>Données!I145</f>
        <v>636404.80000000005</v>
      </c>
      <c r="J145" s="252">
        <f>Données!J145</f>
        <v>343019.23</v>
      </c>
      <c r="K145" s="252">
        <f>Données!K145</f>
        <v>212045.04</v>
      </c>
      <c r="L145" s="252">
        <f>Données!L145</f>
        <v>-495508.68</v>
      </c>
      <c r="M145" s="252">
        <f>Données!M145</f>
        <v>0</v>
      </c>
      <c r="N145" s="252">
        <f>Données!N145</f>
        <v>692195.17</v>
      </c>
      <c r="O145" s="252">
        <f>Données!O145</f>
        <v>3972675.15</v>
      </c>
      <c r="P145" s="252">
        <f>Données!P145</f>
        <v>2287087.19</v>
      </c>
      <c r="Q145" s="252">
        <f>Données!Q145</f>
        <v>584768.35</v>
      </c>
      <c r="R145" s="252">
        <f>Données!R145</f>
        <v>-78784.44</v>
      </c>
      <c r="S145" s="244"/>
      <c r="T145" s="236">
        <f t="shared" si="12"/>
        <v>54769326.793630496</v>
      </c>
      <c r="U145" s="253">
        <f t="shared" si="13"/>
        <v>3972675.15</v>
      </c>
      <c r="V145" s="253">
        <f t="shared" si="14"/>
        <v>2793071.1</v>
      </c>
      <c r="W145" s="254">
        <f t="shared" si="15"/>
        <v>61535073.043630496</v>
      </c>
      <c r="X145" s="236">
        <f t="shared" si="16"/>
        <v>3454.5036234003533</v>
      </c>
      <c r="Y145" s="255">
        <f t="shared" si="17"/>
        <v>0.99762332039074564</v>
      </c>
    </row>
    <row r="146" spans="1:25" x14ac:dyDescent="0.25">
      <c r="A146" s="111">
        <f>Données!A146</f>
        <v>5643</v>
      </c>
      <c r="B146" s="119" t="str">
        <f>Données!B146</f>
        <v>Préverenges</v>
      </c>
      <c r="C146" s="249">
        <f>Données!C146</f>
        <v>5236</v>
      </c>
      <c r="D146" s="250">
        <f>Données!D146</f>
        <v>65</v>
      </c>
      <c r="E146" s="251">
        <f>Données!E146</f>
        <v>1</v>
      </c>
      <c r="F146" s="252">
        <f>Données!F146</f>
        <v>11924883.689999999</v>
      </c>
      <c r="G146" s="252">
        <f>Données!G146</f>
        <v>2403616.87</v>
      </c>
      <c r="H146" s="252">
        <f>Données!H146</f>
        <v>2754095</v>
      </c>
      <c r="I146" s="252">
        <f>Données!I146</f>
        <v>67790.3</v>
      </c>
      <c r="J146" s="252">
        <f>Données!J146</f>
        <v>479796.55</v>
      </c>
      <c r="K146" s="252">
        <f>Données!K146</f>
        <v>42104.12</v>
      </c>
      <c r="L146" s="252">
        <f>Données!L146</f>
        <v>-279982.82</v>
      </c>
      <c r="M146" s="252">
        <f>Données!M146</f>
        <v>0</v>
      </c>
      <c r="N146" s="252">
        <f>Données!N146</f>
        <v>262587.88</v>
      </c>
      <c r="O146" s="252">
        <f>Données!O146</f>
        <v>1220502.6499999999</v>
      </c>
      <c r="P146" s="252">
        <f>Données!P146</f>
        <v>290596.19</v>
      </c>
      <c r="Q146" s="252">
        <f>Données!Q146</f>
        <v>22463.65</v>
      </c>
      <c r="R146" s="252">
        <f>Données!R146</f>
        <v>-46195.6</v>
      </c>
      <c r="S146" s="244"/>
      <c r="T146" s="236">
        <f t="shared" si="12"/>
        <v>18283317.779100437</v>
      </c>
      <c r="U146" s="253">
        <f t="shared" si="13"/>
        <v>1220502.6499999999</v>
      </c>
      <c r="V146" s="253">
        <f t="shared" si="14"/>
        <v>266864.24000000005</v>
      </c>
      <c r="W146" s="254">
        <f t="shared" si="15"/>
        <v>19770684.669100434</v>
      </c>
      <c r="X146" s="236">
        <f t="shared" si="16"/>
        <v>3775.9138023492042</v>
      </c>
      <c r="Y146" s="255">
        <f t="shared" si="17"/>
        <v>1.0904431072215715</v>
      </c>
    </row>
    <row r="147" spans="1:25" x14ac:dyDescent="0.25">
      <c r="A147" s="111">
        <f>Données!A147</f>
        <v>5645</v>
      </c>
      <c r="B147" s="119" t="str">
        <f>Données!B147</f>
        <v>Romanel-sur-Morges</v>
      </c>
      <c r="C147" s="249">
        <f>Données!C147</f>
        <v>462</v>
      </c>
      <c r="D147" s="250">
        <f>Données!D147</f>
        <v>56</v>
      </c>
      <c r="E147" s="251">
        <f>Données!E147</f>
        <v>1</v>
      </c>
      <c r="F147" s="252">
        <f>Données!F147</f>
        <v>991929.88</v>
      </c>
      <c r="G147" s="252">
        <f>Données!G147</f>
        <v>223610.23999999999</v>
      </c>
      <c r="H147" s="252">
        <f>Données!H147</f>
        <v>38827.800000000003</v>
      </c>
      <c r="I147" s="252">
        <f>Données!I147</f>
        <v>27317.1</v>
      </c>
      <c r="J147" s="252">
        <f>Données!J147</f>
        <v>0</v>
      </c>
      <c r="K147" s="252">
        <f>Données!K147</f>
        <v>0</v>
      </c>
      <c r="L147" s="252">
        <f>Données!L147</f>
        <v>-12300.43</v>
      </c>
      <c r="M147" s="252">
        <f>Données!M147</f>
        <v>0</v>
      </c>
      <c r="N147" s="252">
        <f>Données!N147</f>
        <v>6158</v>
      </c>
      <c r="O147" s="252">
        <f>Données!O147</f>
        <v>166147.20000000001</v>
      </c>
      <c r="P147" s="252">
        <f>Données!P147</f>
        <v>29915.27</v>
      </c>
      <c r="Q147" s="252">
        <f>Données!Q147</f>
        <v>20865</v>
      </c>
      <c r="R147" s="252">
        <f>Données!R147</f>
        <v>-7244.49</v>
      </c>
      <c r="S147" s="244"/>
      <c r="T147" s="236">
        <f t="shared" si="12"/>
        <v>1533240.3726529477</v>
      </c>
      <c r="U147" s="253">
        <f t="shared" si="13"/>
        <v>166147.20000000001</v>
      </c>
      <c r="V147" s="253">
        <f t="shared" si="14"/>
        <v>43535.780000000006</v>
      </c>
      <c r="W147" s="254">
        <f t="shared" si="15"/>
        <v>1742923.3526529477</v>
      </c>
      <c r="X147" s="236">
        <f t="shared" si="16"/>
        <v>3772.5613693786745</v>
      </c>
      <c r="Y147" s="255">
        <f t="shared" si="17"/>
        <v>1.0894749608028524</v>
      </c>
    </row>
    <row r="148" spans="1:25" x14ac:dyDescent="0.25">
      <c r="A148" s="111">
        <f>Données!A148</f>
        <v>5646</v>
      </c>
      <c r="B148" s="119" t="str">
        <f>Données!B148</f>
        <v>Saint-Prex</v>
      </c>
      <c r="C148" s="249">
        <f>Données!C148</f>
        <v>5922</v>
      </c>
      <c r="D148" s="250">
        <f>Données!D148</f>
        <v>59</v>
      </c>
      <c r="E148" s="251">
        <f>Données!E148</f>
        <v>1.2</v>
      </c>
      <c r="F148" s="252">
        <f>Données!F148</f>
        <v>14396208.09</v>
      </c>
      <c r="G148" s="252">
        <f>Données!G148</f>
        <v>4009701.34</v>
      </c>
      <c r="H148" s="252">
        <f>Données!H148</f>
        <v>5904248.5999999996</v>
      </c>
      <c r="I148" s="252">
        <f>Données!I148</f>
        <v>6338923.6500000004</v>
      </c>
      <c r="J148" s="252">
        <f>Données!J148</f>
        <v>848683.65</v>
      </c>
      <c r="K148" s="252">
        <f>Données!K148</f>
        <v>9107.4599999999991</v>
      </c>
      <c r="L148" s="252">
        <f>Données!L148</f>
        <v>-254979.02</v>
      </c>
      <c r="M148" s="252">
        <f>Données!M148</f>
        <v>0</v>
      </c>
      <c r="N148" s="252">
        <f>Données!N148</f>
        <v>1139822.1499999999</v>
      </c>
      <c r="O148" s="252">
        <f>Données!O148</f>
        <v>2207267.5</v>
      </c>
      <c r="P148" s="252">
        <f>Données!P148</f>
        <v>624688.1</v>
      </c>
      <c r="Q148" s="252">
        <f>Données!Q148</f>
        <v>86503.15</v>
      </c>
      <c r="R148" s="252">
        <f>Données!R148</f>
        <v>-66809.350000000006</v>
      </c>
      <c r="S148" s="244"/>
      <c r="T148" s="236">
        <f t="shared" si="12"/>
        <v>36956025.02789209</v>
      </c>
      <c r="U148" s="253">
        <f t="shared" si="13"/>
        <v>1839389.5833333335</v>
      </c>
      <c r="V148" s="253">
        <f t="shared" si="14"/>
        <v>644381.9</v>
      </c>
      <c r="W148" s="254">
        <f t="shared" si="15"/>
        <v>39439796.511225425</v>
      </c>
      <c r="X148" s="236">
        <f t="shared" si="16"/>
        <v>6659.877830331885</v>
      </c>
      <c r="Y148" s="255">
        <f t="shared" si="17"/>
        <v>1.9233007571584215</v>
      </c>
    </row>
    <row r="149" spans="1:25" x14ac:dyDescent="0.25">
      <c r="A149" s="111">
        <f>Données!A149</f>
        <v>5648</v>
      </c>
      <c r="B149" s="119" t="str">
        <f>Données!B149</f>
        <v>Saint-Sulpice</v>
      </c>
      <c r="C149" s="249">
        <f>Données!C149</f>
        <v>5193</v>
      </c>
      <c r="D149" s="250">
        <f>Données!D149</f>
        <v>55</v>
      </c>
      <c r="E149" s="251">
        <f>Données!E149</f>
        <v>0.8</v>
      </c>
      <c r="F149" s="252">
        <f>Données!F149</f>
        <v>14033496.550000001</v>
      </c>
      <c r="G149" s="252">
        <f>Données!G149</f>
        <v>4764215.5199999996</v>
      </c>
      <c r="H149" s="252">
        <f>Données!H149</f>
        <v>883480.35</v>
      </c>
      <c r="I149" s="252">
        <f>Données!I149</f>
        <v>71259.199999999997</v>
      </c>
      <c r="J149" s="252">
        <f>Données!J149</f>
        <v>517631.15</v>
      </c>
      <c r="K149" s="252">
        <f>Données!K149</f>
        <v>9369.17</v>
      </c>
      <c r="L149" s="252">
        <f>Données!L149</f>
        <v>-76117.08</v>
      </c>
      <c r="M149" s="252">
        <f>Données!M149</f>
        <v>0</v>
      </c>
      <c r="N149" s="252">
        <f>Données!N149</f>
        <v>88884.91</v>
      </c>
      <c r="O149" s="252">
        <f>Données!O149</f>
        <v>1512376.81</v>
      </c>
      <c r="P149" s="252">
        <f>Données!P149</f>
        <v>321171.03999999998</v>
      </c>
      <c r="Q149" s="252">
        <f>Données!Q149</f>
        <v>233242.55</v>
      </c>
      <c r="R149" s="252">
        <f>Données!R149</f>
        <v>-55396.47</v>
      </c>
      <c r="S149" s="244"/>
      <c r="T149" s="236">
        <f t="shared" si="12"/>
        <v>24835343.831895061</v>
      </c>
      <c r="U149" s="253">
        <f t="shared" si="13"/>
        <v>1890471.0125</v>
      </c>
      <c r="V149" s="253">
        <f t="shared" si="14"/>
        <v>499017.12</v>
      </c>
      <c r="W149" s="254">
        <f t="shared" si="15"/>
        <v>27224831.964395061</v>
      </c>
      <c r="X149" s="236">
        <f t="shared" si="16"/>
        <v>5242.6019573262201</v>
      </c>
      <c r="Y149" s="255">
        <f t="shared" si="17"/>
        <v>1.5140067987558363</v>
      </c>
    </row>
    <row r="150" spans="1:25" x14ac:dyDescent="0.25">
      <c r="A150" s="111">
        <f>Données!A150</f>
        <v>5649</v>
      </c>
      <c r="B150" s="119" t="str">
        <f>Données!B150</f>
        <v>Tolochenaz</v>
      </c>
      <c r="C150" s="249">
        <f>Données!C150</f>
        <v>1928</v>
      </c>
      <c r="D150" s="250">
        <f>Données!D150</f>
        <v>64</v>
      </c>
      <c r="E150" s="251">
        <f>Données!E150</f>
        <v>1</v>
      </c>
      <c r="F150" s="252">
        <f>Données!F150</f>
        <v>4541564.51</v>
      </c>
      <c r="G150" s="252">
        <f>Données!G150</f>
        <v>697496.27</v>
      </c>
      <c r="H150" s="252">
        <f>Données!H150</f>
        <v>19930524.100000001</v>
      </c>
      <c r="I150" s="252">
        <f>Données!I150</f>
        <v>-716470.3</v>
      </c>
      <c r="J150" s="252">
        <f>Données!J150</f>
        <v>28981.35</v>
      </c>
      <c r="K150" s="252">
        <f>Données!K150</f>
        <v>46680.87</v>
      </c>
      <c r="L150" s="252">
        <f>Données!L150</f>
        <v>-47339.199999999997</v>
      </c>
      <c r="M150" s="252">
        <f>Données!M150</f>
        <v>0</v>
      </c>
      <c r="N150" s="252">
        <f>Données!N150</f>
        <v>1788801.43</v>
      </c>
      <c r="O150" s="252">
        <f>Données!O150</f>
        <v>636299.15</v>
      </c>
      <c r="P150" s="252">
        <f>Données!P150</f>
        <v>294980.7</v>
      </c>
      <c r="Q150" s="252">
        <f>Données!Q150</f>
        <v>98091.55</v>
      </c>
      <c r="R150" s="252">
        <f>Données!R150</f>
        <v>-12104.9</v>
      </c>
      <c r="S150" s="244"/>
      <c r="T150" s="236">
        <f t="shared" si="12"/>
        <v>27630411.92927498</v>
      </c>
      <c r="U150" s="253">
        <f t="shared" si="13"/>
        <v>636299.15</v>
      </c>
      <c r="V150" s="253">
        <f t="shared" si="14"/>
        <v>380967.35</v>
      </c>
      <c r="W150" s="254">
        <f t="shared" si="15"/>
        <v>28647678.42927498</v>
      </c>
      <c r="X150" s="236">
        <f t="shared" si="16"/>
        <v>14858.754372030591</v>
      </c>
      <c r="Y150" s="255">
        <f t="shared" si="17"/>
        <v>4.2910477132180826</v>
      </c>
    </row>
    <row r="151" spans="1:25" x14ac:dyDescent="0.25">
      <c r="A151" s="111">
        <f>Données!A151</f>
        <v>5650</v>
      </c>
      <c r="B151" s="119" t="str">
        <f>Données!B151</f>
        <v>Vaux-sur-Morges</v>
      </c>
      <c r="C151" s="249">
        <f>Données!C151</f>
        <v>185</v>
      </c>
      <c r="D151" s="250">
        <f>Données!D151</f>
        <v>56</v>
      </c>
      <c r="E151" s="251">
        <f>Données!E151</f>
        <v>1.25</v>
      </c>
      <c r="F151" s="252">
        <f>Données!F151</f>
        <v>2682485.42</v>
      </c>
      <c r="G151" s="252">
        <f>Données!G151</f>
        <v>3633636.9</v>
      </c>
      <c r="H151" s="252">
        <f>Données!H151</f>
        <v>7822.6</v>
      </c>
      <c r="I151" s="252">
        <f>Données!I151</f>
        <v>654.54999999999995</v>
      </c>
      <c r="J151" s="252">
        <f>Données!J151</f>
        <v>0</v>
      </c>
      <c r="K151" s="252">
        <f>Données!K151</f>
        <v>0</v>
      </c>
      <c r="L151" s="252">
        <f>Données!L151</f>
        <v>-1939.34</v>
      </c>
      <c r="M151" s="252">
        <f>Données!M151</f>
        <v>0</v>
      </c>
      <c r="N151" s="252">
        <f>Données!N151</f>
        <v>789.21</v>
      </c>
      <c r="O151" s="252">
        <f>Données!O151</f>
        <v>58463</v>
      </c>
      <c r="P151" s="252">
        <f>Données!P151</f>
        <v>381.91</v>
      </c>
      <c r="Q151" s="252">
        <f>Données!Q151</f>
        <v>0</v>
      </c>
      <c r="R151" s="252">
        <f>Données!R151</f>
        <v>-4738.5</v>
      </c>
      <c r="S151" s="244"/>
      <c r="T151" s="236">
        <f t="shared" si="12"/>
        <v>7600975.3798292475</v>
      </c>
      <c r="U151" s="253">
        <f t="shared" si="13"/>
        <v>46770.400000000001</v>
      </c>
      <c r="V151" s="253">
        <f t="shared" si="14"/>
        <v>-4356.59</v>
      </c>
      <c r="W151" s="254">
        <f t="shared" si="15"/>
        <v>7643389.189829248</v>
      </c>
      <c r="X151" s="236">
        <f t="shared" si="16"/>
        <v>41315.617242320259</v>
      </c>
      <c r="Y151" s="255">
        <f t="shared" si="17"/>
        <v>11.931503842715717</v>
      </c>
    </row>
    <row r="152" spans="1:25" x14ac:dyDescent="0.25">
      <c r="A152" s="111">
        <f>Données!A152</f>
        <v>5651</v>
      </c>
      <c r="B152" s="119" t="str">
        <f>Données!B152</f>
        <v>Villars-Sainte-Croix</v>
      </c>
      <c r="C152" s="249">
        <f>Données!C152</f>
        <v>943</v>
      </c>
      <c r="D152" s="250">
        <f>Données!D152</f>
        <v>60.5</v>
      </c>
      <c r="E152" s="251">
        <f>Données!E152</f>
        <v>1</v>
      </c>
      <c r="F152" s="252">
        <f>Données!F152</f>
        <v>1985291.23</v>
      </c>
      <c r="G152" s="252">
        <f>Données!G152</f>
        <v>344238.32</v>
      </c>
      <c r="H152" s="252">
        <f>Données!H152</f>
        <v>590650.85</v>
      </c>
      <c r="I152" s="252">
        <f>Données!I152</f>
        <v>8333.4500000000007</v>
      </c>
      <c r="J152" s="252">
        <f>Données!J152</f>
        <v>0</v>
      </c>
      <c r="K152" s="252">
        <f>Données!K152</f>
        <v>2329.69</v>
      </c>
      <c r="L152" s="252">
        <f>Données!L152</f>
        <v>-170100.47</v>
      </c>
      <c r="M152" s="252">
        <f>Données!M152</f>
        <v>0</v>
      </c>
      <c r="N152" s="252">
        <f>Données!N152</f>
        <v>55126.09</v>
      </c>
      <c r="O152" s="252">
        <f>Données!O152</f>
        <v>394373.3</v>
      </c>
      <c r="P152" s="252">
        <f>Données!P152</f>
        <v>36756.1</v>
      </c>
      <c r="Q152" s="252">
        <f>Données!Q152</f>
        <v>33474.400000000001</v>
      </c>
      <c r="R152" s="252">
        <f>Données!R152</f>
        <v>-6904.3</v>
      </c>
      <c r="S152" s="244"/>
      <c r="T152" s="236">
        <f t="shared" si="12"/>
        <v>3133000.0797833102</v>
      </c>
      <c r="U152" s="253">
        <f t="shared" si="13"/>
        <v>394373.3</v>
      </c>
      <c r="V152" s="253">
        <f t="shared" si="14"/>
        <v>63326.2</v>
      </c>
      <c r="W152" s="254">
        <f t="shared" si="15"/>
        <v>3590699.5797833102</v>
      </c>
      <c r="X152" s="236">
        <f t="shared" si="16"/>
        <v>3807.7408057087064</v>
      </c>
      <c r="Y152" s="255">
        <f t="shared" si="17"/>
        <v>1.099634401899775</v>
      </c>
    </row>
    <row r="153" spans="1:25" x14ac:dyDescent="0.25">
      <c r="A153" s="111">
        <f>Données!A153</f>
        <v>5652</v>
      </c>
      <c r="B153" s="119" t="str">
        <f>Données!B153</f>
        <v>Villars-sous-Yens</v>
      </c>
      <c r="C153" s="249">
        <f>Données!C153</f>
        <v>603</v>
      </c>
      <c r="D153" s="250">
        <f>Données!D153</f>
        <v>74</v>
      </c>
      <c r="E153" s="251">
        <f>Données!E153</f>
        <v>1.2</v>
      </c>
      <c r="F153" s="252">
        <f>Données!F153</f>
        <v>1390841.16</v>
      </c>
      <c r="G153" s="252">
        <f>Données!G153</f>
        <v>230883.55</v>
      </c>
      <c r="H153" s="252">
        <f>Données!H153</f>
        <v>17697.349999999999</v>
      </c>
      <c r="I153" s="252">
        <f>Données!I153</f>
        <v>3664.9</v>
      </c>
      <c r="J153" s="252">
        <f>Données!J153</f>
        <v>0</v>
      </c>
      <c r="K153" s="252">
        <f>Données!K153</f>
        <v>177.77</v>
      </c>
      <c r="L153" s="252">
        <f>Données!L153</f>
        <v>-16971.79</v>
      </c>
      <c r="M153" s="252">
        <f>Données!M153</f>
        <v>0</v>
      </c>
      <c r="N153" s="252">
        <f>Données!N153</f>
        <v>1984.14</v>
      </c>
      <c r="O153" s="252">
        <f>Données!O153</f>
        <v>148540.29999999999</v>
      </c>
      <c r="P153" s="252">
        <f>Données!P153</f>
        <v>19185.349999999999</v>
      </c>
      <c r="Q153" s="252">
        <f>Données!Q153</f>
        <v>1608.15</v>
      </c>
      <c r="R153" s="252">
        <f>Données!R153</f>
        <v>-7539.75</v>
      </c>
      <c r="S153" s="244"/>
      <c r="T153" s="236">
        <f t="shared" si="12"/>
        <v>1481152.9203935738</v>
      </c>
      <c r="U153" s="253">
        <f t="shared" si="13"/>
        <v>123783.58333333333</v>
      </c>
      <c r="V153" s="253">
        <f t="shared" si="14"/>
        <v>13253.75</v>
      </c>
      <c r="W153" s="254">
        <f t="shared" si="15"/>
        <v>1618190.2537269071</v>
      </c>
      <c r="X153" s="236">
        <f t="shared" si="16"/>
        <v>2683.5659265786185</v>
      </c>
      <c r="Y153" s="255">
        <f t="shared" si="17"/>
        <v>0.77498484356071018</v>
      </c>
    </row>
    <row r="154" spans="1:25" x14ac:dyDescent="0.25">
      <c r="A154" s="111">
        <f>Données!A154</f>
        <v>5653</v>
      </c>
      <c r="B154" s="119" t="str">
        <f>Données!B154</f>
        <v>Vufflens-le-Château</v>
      </c>
      <c r="C154" s="249">
        <f>Données!C154</f>
        <v>887</v>
      </c>
      <c r="D154" s="250">
        <f>Données!D154</f>
        <v>60.5</v>
      </c>
      <c r="E154" s="251">
        <f>Données!E154</f>
        <v>0.8</v>
      </c>
      <c r="F154" s="252">
        <f>Données!F154</f>
        <v>3282382.98</v>
      </c>
      <c r="G154" s="252">
        <f>Données!G154</f>
        <v>823486.46</v>
      </c>
      <c r="H154" s="252">
        <f>Données!H154</f>
        <v>30347.25</v>
      </c>
      <c r="I154" s="252">
        <f>Données!I154</f>
        <v>2091.8000000000002</v>
      </c>
      <c r="J154" s="252">
        <f>Données!J154</f>
        <v>20719.95</v>
      </c>
      <c r="K154" s="252">
        <f>Données!K154</f>
        <v>41.61</v>
      </c>
      <c r="L154" s="252">
        <f>Données!L154</f>
        <v>-5149.45</v>
      </c>
      <c r="M154" s="252">
        <f>Données!M154</f>
        <v>0</v>
      </c>
      <c r="N154" s="252">
        <f>Données!N154</f>
        <v>3020.03</v>
      </c>
      <c r="O154" s="252">
        <f>Données!O154</f>
        <v>221719.9</v>
      </c>
      <c r="P154" s="252">
        <f>Données!P154</f>
        <v>19247.77</v>
      </c>
      <c r="Q154" s="252">
        <f>Données!Q154</f>
        <v>1714.4</v>
      </c>
      <c r="R154" s="252">
        <f>Données!R154</f>
        <v>-24318.9</v>
      </c>
      <c r="S154" s="244"/>
      <c r="T154" s="236">
        <f t="shared" si="12"/>
        <v>4625106.7025587521</v>
      </c>
      <c r="U154" s="253">
        <f t="shared" si="13"/>
        <v>277149.875</v>
      </c>
      <c r="V154" s="253">
        <f t="shared" si="14"/>
        <v>-3356.7299999999996</v>
      </c>
      <c r="W154" s="254">
        <f t="shared" si="15"/>
        <v>4898899.8475587517</v>
      </c>
      <c r="X154" s="236">
        <f t="shared" si="16"/>
        <v>5522.9987007426735</v>
      </c>
      <c r="Y154" s="255">
        <f t="shared" si="17"/>
        <v>1.594982348556687</v>
      </c>
    </row>
    <row r="155" spans="1:25" x14ac:dyDescent="0.25">
      <c r="A155" s="111">
        <f>Données!A155</f>
        <v>5654</v>
      </c>
      <c r="B155" s="119" t="str">
        <f>Données!B155</f>
        <v>Vullierens</v>
      </c>
      <c r="C155" s="249">
        <f>Données!C155</f>
        <v>577</v>
      </c>
      <c r="D155" s="250">
        <f>Données!D155</f>
        <v>76</v>
      </c>
      <c r="E155" s="251">
        <f>Données!E155</f>
        <v>1</v>
      </c>
      <c r="F155" s="252">
        <f>Données!F155</f>
        <v>1361208.86</v>
      </c>
      <c r="G155" s="252">
        <f>Données!G155</f>
        <v>311530.74</v>
      </c>
      <c r="H155" s="252">
        <f>Données!H155</f>
        <v>52124.2</v>
      </c>
      <c r="I155" s="252">
        <f>Données!I155</f>
        <v>904.8</v>
      </c>
      <c r="J155" s="252">
        <f>Données!J155</f>
        <v>0</v>
      </c>
      <c r="K155" s="252">
        <f>Données!K155</f>
        <v>86.39</v>
      </c>
      <c r="L155" s="252">
        <f>Données!L155</f>
        <v>-10733.05</v>
      </c>
      <c r="M155" s="252">
        <f>Données!M155</f>
        <v>0</v>
      </c>
      <c r="N155" s="252">
        <f>Données!N155</f>
        <v>4936.93</v>
      </c>
      <c r="O155" s="252">
        <f>Données!O155</f>
        <v>121668.75</v>
      </c>
      <c r="P155" s="252">
        <f>Données!P155</f>
        <v>60690.53</v>
      </c>
      <c r="Q155" s="252">
        <f>Données!Q155</f>
        <v>1902.5</v>
      </c>
      <c r="R155" s="252">
        <f>Données!R155</f>
        <v>-974.5</v>
      </c>
      <c r="S155" s="244"/>
      <c r="T155" s="236">
        <f t="shared" si="12"/>
        <v>1523466.9184372788</v>
      </c>
      <c r="U155" s="253">
        <f t="shared" si="13"/>
        <v>121668.75</v>
      </c>
      <c r="V155" s="253">
        <f t="shared" si="14"/>
        <v>61618.53</v>
      </c>
      <c r="W155" s="254">
        <f t="shared" si="15"/>
        <v>1706754.1984372789</v>
      </c>
      <c r="X155" s="236">
        <f t="shared" si="16"/>
        <v>2957.9795466850587</v>
      </c>
      <c r="Y155" s="255">
        <f t="shared" si="17"/>
        <v>0.85423253199751126</v>
      </c>
    </row>
    <row r="156" spans="1:25" x14ac:dyDescent="0.25">
      <c r="A156" s="111">
        <f>Données!A156</f>
        <v>5655</v>
      </c>
      <c r="B156" s="119" t="str">
        <f>Données!B156</f>
        <v>Yens</v>
      </c>
      <c r="C156" s="249">
        <f>Données!C156</f>
        <v>1481</v>
      </c>
      <c r="D156" s="250">
        <f>Données!D156</f>
        <v>70</v>
      </c>
      <c r="E156" s="251">
        <f>Données!E156</f>
        <v>1</v>
      </c>
      <c r="F156" s="252">
        <f>Données!F156</f>
        <v>5441520.1900000004</v>
      </c>
      <c r="G156" s="252">
        <f>Données!G156</f>
        <v>973410.59</v>
      </c>
      <c r="H156" s="252">
        <f>Données!H156</f>
        <v>73659.5</v>
      </c>
      <c r="I156" s="252">
        <f>Données!I156</f>
        <v>3188.95</v>
      </c>
      <c r="J156" s="252">
        <f>Données!J156</f>
        <v>213333.25</v>
      </c>
      <c r="K156" s="252">
        <f>Données!K156</f>
        <v>11472.35</v>
      </c>
      <c r="L156" s="252">
        <f>Données!L156</f>
        <v>-31589.99</v>
      </c>
      <c r="M156" s="252">
        <f>Données!M156</f>
        <v>0</v>
      </c>
      <c r="N156" s="252">
        <f>Données!N156</f>
        <v>7154.48</v>
      </c>
      <c r="O156" s="252">
        <f>Données!O156</f>
        <v>460751.8</v>
      </c>
      <c r="P156" s="252">
        <f>Données!P156</f>
        <v>108124.78</v>
      </c>
      <c r="Q156" s="252">
        <f>Données!Q156</f>
        <v>4589.2</v>
      </c>
      <c r="R156" s="252">
        <f>Données!R156</f>
        <v>-22781.8</v>
      </c>
      <c r="S156" s="244"/>
      <c r="T156" s="236">
        <f t="shared" si="12"/>
        <v>6435331.0333579481</v>
      </c>
      <c r="U156" s="253">
        <f t="shared" si="13"/>
        <v>460751.8</v>
      </c>
      <c r="V156" s="253">
        <f t="shared" si="14"/>
        <v>89932.18</v>
      </c>
      <c r="W156" s="254">
        <f t="shared" si="15"/>
        <v>6986015.0133579476</v>
      </c>
      <c r="X156" s="236">
        <f t="shared" si="16"/>
        <v>4717.0931893031384</v>
      </c>
      <c r="Y156" s="255">
        <f t="shared" si="17"/>
        <v>1.3622455446936406</v>
      </c>
    </row>
    <row r="157" spans="1:25" x14ac:dyDescent="0.25">
      <c r="A157" s="111">
        <f>Données!A157</f>
        <v>5656</v>
      </c>
      <c r="B157" s="119" t="str">
        <f>Données!B157</f>
        <v>Hautemorges</v>
      </c>
      <c r="C157" s="249">
        <f>Données!C157</f>
        <v>4426</v>
      </c>
      <c r="D157" s="250">
        <f>Données!D157</f>
        <v>68</v>
      </c>
      <c r="E157" s="251">
        <f>Données!E157</f>
        <v>1</v>
      </c>
      <c r="F157" s="252">
        <f>Données!F157</f>
        <v>9127717.8900000006</v>
      </c>
      <c r="G157" s="252">
        <f>Données!G157</f>
        <v>1493316.48</v>
      </c>
      <c r="H157" s="252">
        <f>Données!H157</f>
        <v>253285.9</v>
      </c>
      <c r="I157" s="252">
        <f>Données!I157</f>
        <v>6569.85</v>
      </c>
      <c r="J157" s="252">
        <f>Données!J157</f>
        <v>183682.61</v>
      </c>
      <c r="K157" s="252">
        <f>Données!K157</f>
        <v>25176.89</v>
      </c>
      <c r="L157" s="252">
        <f>Données!L157</f>
        <v>-97753.01</v>
      </c>
      <c r="M157" s="252">
        <f>Données!M157</f>
        <v>0</v>
      </c>
      <c r="N157" s="252">
        <f>Données!N157</f>
        <v>24192.21</v>
      </c>
      <c r="O157" s="252">
        <f>Données!O157</f>
        <v>964115.1</v>
      </c>
      <c r="P157" s="252">
        <f>Données!P157</f>
        <v>220978.43</v>
      </c>
      <c r="Q157" s="252">
        <f>Données!Q157</f>
        <v>35682</v>
      </c>
      <c r="R157" s="252">
        <f>Données!R157</f>
        <v>-5098.55</v>
      </c>
      <c r="S157" s="244"/>
      <c r="T157" s="236">
        <f t="shared" si="12"/>
        <v>10905002.456861652</v>
      </c>
      <c r="U157" s="253">
        <f t="shared" si="13"/>
        <v>964115.1</v>
      </c>
      <c r="V157" s="253">
        <f t="shared" si="14"/>
        <v>251561.88</v>
      </c>
      <c r="W157" s="254">
        <f t="shared" si="15"/>
        <v>12120679.436861653</v>
      </c>
      <c r="X157" s="236">
        <f t="shared" si="16"/>
        <v>2738.5177218395061</v>
      </c>
      <c r="Y157" s="255">
        <f t="shared" si="17"/>
        <v>0.79085432827574931</v>
      </c>
    </row>
    <row r="158" spans="1:25" x14ac:dyDescent="0.25">
      <c r="A158" s="111">
        <f>Données!A158</f>
        <v>5661</v>
      </c>
      <c r="B158" s="119" t="str">
        <f>Données!B158</f>
        <v>Boulens</v>
      </c>
      <c r="C158" s="249">
        <f>Données!C158</f>
        <v>371</v>
      </c>
      <c r="D158" s="250">
        <f>Données!D158</f>
        <v>71.5</v>
      </c>
      <c r="E158" s="251">
        <f>Données!E158</f>
        <v>1</v>
      </c>
      <c r="F158" s="252">
        <f>Données!F158</f>
        <v>733741.66</v>
      </c>
      <c r="G158" s="252">
        <f>Données!G158</f>
        <v>68292.84</v>
      </c>
      <c r="H158" s="252">
        <f>Données!H158</f>
        <v>2713.8</v>
      </c>
      <c r="I158" s="252">
        <f>Données!I158</f>
        <v>989.7</v>
      </c>
      <c r="J158" s="252">
        <f>Données!J158</f>
        <v>0</v>
      </c>
      <c r="K158" s="252">
        <f>Données!K158</f>
        <v>0</v>
      </c>
      <c r="L158" s="252">
        <f>Données!L158</f>
        <v>-2916.7</v>
      </c>
      <c r="M158" s="252">
        <f>Données!M158</f>
        <v>0</v>
      </c>
      <c r="N158" s="252">
        <f>Données!N158</f>
        <v>344.79</v>
      </c>
      <c r="O158" s="252">
        <f>Données!O158</f>
        <v>65574.399999999994</v>
      </c>
      <c r="P158" s="252">
        <f>Données!P158</f>
        <v>9437.2900000000009</v>
      </c>
      <c r="Q158" s="252">
        <f>Données!Q158</f>
        <v>490</v>
      </c>
      <c r="R158" s="252">
        <f>Données!R158</f>
        <v>-62.6</v>
      </c>
      <c r="S158" s="244"/>
      <c r="T158" s="236">
        <f t="shared" si="12"/>
        <v>756140.72878688131</v>
      </c>
      <c r="U158" s="253">
        <f t="shared" si="13"/>
        <v>65574.399999999994</v>
      </c>
      <c r="V158" s="253">
        <f t="shared" si="14"/>
        <v>9864.69</v>
      </c>
      <c r="W158" s="254">
        <f t="shared" si="15"/>
        <v>831579.81878688128</v>
      </c>
      <c r="X158" s="236">
        <f t="shared" si="16"/>
        <v>2241.455037161405</v>
      </c>
      <c r="Y158" s="255">
        <f t="shared" si="17"/>
        <v>0.64730799572253661</v>
      </c>
    </row>
    <row r="159" spans="1:25" x14ac:dyDescent="0.25">
      <c r="A159" s="111">
        <f>Données!A159</f>
        <v>5663</v>
      </c>
      <c r="B159" s="119" t="str">
        <f>Données!B159</f>
        <v>Bussy-sur-Moudon</v>
      </c>
      <c r="C159" s="249">
        <f>Données!C159</f>
        <v>267</v>
      </c>
      <c r="D159" s="250">
        <f>Données!D159</f>
        <v>78.5</v>
      </c>
      <c r="E159" s="251">
        <f>Données!E159</f>
        <v>1</v>
      </c>
      <c r="F159" s="252">
        <f>Données!F159</f>
        <v>451506.6</v>
      </c>
      <c r="G159" s="252">
        <f>Données!G159</f>
        <v>45456.49</v>
      </c>
      <c r="H159" s="252">
        <f>Données!H159</f>
        <v>2864</v>
      </c>
      <c r="I159" s="252">
        <f>Données!I159</f>
        <v>1985.05</v>
      </c>
      <c r="J159" s="252">
        <f>Données!J159</f>
        <v>0</v>
      </c>
      <c r="K159" s="252">
        <f>Données!K159</f>
        <v>0</v>
      </c>
      <c r="L159" s="252">
        <f>Données!L159</f>
        <v>-6449.05</v>
      </c>
      <c r="M159" s="252">
        <f>Données!M159</f>
        <v>0</v>
      </c>
      <c r="N159" s="252">
        <f>Données!N159</f>
        <v>451.44</v>
      </c>
      <c r="O159" s="252">
        <f>Données!O159</f>
        <v>41715.15</v>
      </c>
      <c r="P159" s="252">
        <f>Données!P159</f>
        <v>6404.25</v>
      </c>
      <c r="Q159" s="252">
        <f>Données!Q159</f>
        <v>477.7</v>
      </c>
      <c r="R159" s="252">
        <f>Données!R159</f>
        <v>-38.200000000000003</v>
      </c>
      <c r="S159" s="244"/>
      <c r="T159" s="236">
        <f t="shared" si="12"/>
        <v>425160.49327683548</v>
      </c>
      <c r="U159" s="253">
        <f t="shared" si="13"/>
        <v>41715.15</v>
      </c>
      <c r="V159" s="253">
        <f t="shared" si="14"/>
        <v>6843.75</v>
      </c>
      <c r="W159" s="254">
        <f t="shared" si="15"/>
        <v>473719.3932768355</v>
      </c>
      <c r="X159" s="236">
        <f t="shared" si="16"/>
        <v>1774.229937366425</v>
      </c>
      <c r="Y159" s="255">
        <f t="shared" si="17"/>
        <v>0.51237843528729321</v>
      </c>
    </row>
    <row r="160" spans="1:25" x14ac:dyDescent="0.25">
      <c r="A160" s="111">
        <f>Données!A160</f>
        <v>5665</v>
      </c>
      <c r="B160" s="119" t="str">
        <f>Données!B160</f>
        <v>Chavannes-sur-Moudon</v>
      </c>
      <c r="C160" s="249">
        <f>Données!C160</f>
        <v>232</v>
      </c>
      <c r="D160" s="250">
        <f>Données!D160</f>
        <v>70</v>
      </c>
      <c r="E160" s="251">
        <f>Données!E160</f>
        <v>1</v>
      </c>
      <c r="F160" s="252">
        <f>Données!F160</f>
        <v>338054.51</v>
      </c>
      <c r="G160" s="252">
        <f>Données!G160</f>
        <v>64132.33</v>
      </c>
      <c r="H160" s="252">
        <f>Données!H160</f>
        <v>2283.4499999999998</v>
      </c>
      <c r="I160" s="252">
        <f>Données!I160</f>
        <v>954.25</v>
      </c>
      <c r="J160" s="252">
        <f>Données!J160</f>
        <v>0</v>
      </c>
      <c r="K160" s="252">
        <f>Données!K160</f>
        <v>0</v>
      </c>
      <c r="L160" s="252">
        <f>Données!L160</f>
        <v>-6965.42</v>
      </c>
      <c r="M160" s="252">
        <f>Données!M160</f>
        <v>0</v>
      </c>
      <c r="N160" s="252">
        <f>Données!N160</f>
        <v>301.43</v>
      </c>
      <c r="O160" s="252">
        <f>Données!O160</f>
        <v>32930.800000000003</v>
      </c>
      <c r="P160" s="252">
        <f>Données!P160</f>
        <v>8426.7800000000007</v>
      </c>
      <c r="Q160" s="252">
        <f>Données!Q160</f>
        <v>896.5</v>
      </c>
      <c r="R160" s="252">
        <f>Données!R160</f>
        <v>0</v>
      </c>
      <c r="S160" s="244"/>
      <c r="T160" s="236">
        <f t="shared" si="12"/>
        <v>383457.69342365541</v>
      </c>
      <c r="U160" s="253">
        <f t="shared" si="13"/>
        <v>32930.800000000003</v>
      </c>
      <c r="V160" s="253">
        <f t="shared" si="14"/>
        <v>9323.2800000000007</v>
      </c>
      <c r="W160" s="254">
        <f t="shared" si="15"/>
        <v>425711.77342365542</v>
      </c>
      <c r="X160" s="236">
        <f t="shared" si="16"/>
        <v>1834.9645406192044</v>
      </c>
      <c r="Y160" s="255">
        <f t="shared" si="17"/>
        <v>0.5299179324669232</v>
      </c>
    </row>
    <row r="161" spans="1:25" x14ac:dyDescent="0.25">
      <c r="A161" s="111">
        <f>Données!A161</f>
        <v>5669</v>
      </c>
      <c r="B161" s="119" t="str">
        <f>Données!B161</f>
        <v>Curtilles</v>
      </c>
      <c r="C161" s="249">
        <f>Données!C161</f>
        <v>302</v>
      </c>
      <c r="D161" s="250">
        <f>Données!D161</f>
        <v>73</v>
      </c>
      <c r="E161" s="251">
        <f>Données!E161</f>
        <v>0.5</v>
      </c>
      <c r="F161" s="252">
        <f>Données!F161</f>
        <v>513792.58</v>
      </c>
      <c r="G161" s="252">
        <f>Données!G161</f>
        <v>135401.76999999999</v>
      </c>
      <c r="H161" s="252">
        <f>Données!H161</f>
        <v>12210.9</v>
      </c>
      <c r="I161" s="252">
        <f>Données!I161</f>
        <v>1330.8</v>
      </c>
      <c r="J161" s="252">
        <f>Données!J161</f>
        <v>0</v>
      </c>
      <c r="K161" s="252">
        <f>Données!K161</f>
        <v>0</v>
      </c>
      <c r="L161" s="252">
        <f>Données!L161</f>
        <v>-3496.45</v>
      </c>
      <c r="M161" s="252">
        <f>Données!M161</f>
        <v>0</v>
      </c>
      <c r="N161" s="252">
        <f>Données!N161</f>
        <v>1260.71</v>
      </c>
      <c r="O161" s="252">
        <f>Données!O161</f>
        <v>25427.3</v>
      </c>
      <c r="P161" s="252">
        <f>Données!P161</f>
        <v>1092.27</v>
      </c>
      <c r="Q161" s="252">
        <f>Données!Q161</f>
        <v>73.650000000000006</v>
      </c>
      <c r="R161" s="252">
        <f>Données!R161</f>
        <v>0</v>
      </c>
      <c r="S161" s="244"/>
      <c r="T161" s="236">
        <f t="shared" si="12"/>
        <v>609050.73959024553</v>
      </c>
      <c r="U161" s="253">
        <f t="shared" si="13"/>
        <v>50854.6</v>
      </c>
      <c r="V161" s="253">
        <f t="shared" si="14"/>
        <v>1165.92</v>
      </c>
      <c r="W161" s="254">
        <f t="shared" si="15"/>
        <v>661071.25959024555</v>
      </c>
      <c r="X161" s="236">
        <f t="shared" si="16"/>
        <v>2188.9776807624025</v>
      </c>
      <c r="Y161" s="255">
        <f t="shared" si="17"/>
        <v>0.63215310221440091</v>
      </c>
    </row>
    <row r="162" spans="1:25" x14ac:dyDescent="0.25">
      <c r="A162" s="111">
        <f>Données!A162</f>
        <v>5671</v>
      </c>
      <c r="B162" s="119" t="str">
        <f>Données!B162</f>
        <v>Dompierre</v>
      </c>
      <c r="C162" s="249">
        <f>Données!C162</f>
        <v>242</v>
      </c>
      <c r="D162" s="250">
        <f>Données!D162</f>
        <v>78</v>
      </c>
      <c r="E162" s="251">
        <f>Données!E162</f>
        <v>1</v>
      </c>
      <c r="F162" s="252">
        <f>Données!F162</f>
        <v>314457.8</v>
      </c>
      <c r="G162" s="252">
        <f>Données!G162</f>
        <v>50819.91</v>
      </c>
      <c r="H162" s="252">
        <f>Données!H162</f>
        <v>-4709</v>
      </c>
      <c r="I162" s="252">
        <f>Données!I162</f>
        <v>4358.1000000000004</v>
      </c>
      <c r="J162" s="252">
        <f>Données!J162</f>
        <v>0</v>
      </c>
      <c r="K162" s="252">
        <f>Données!K162</f>
        <v>0</v>
      </c>
      <c r="L162" s="252">
        <f>Données!L162</f>
        <v>-5140.59</v>
      </c>
      <c r="M162" s="252">
        <f>Données!M162</f>
        <v>0</v>
      </c>
      <c r="N162" s="252">
        <f>Données!N162</f>
        <v>-38.22</v>
      </c>
      <c r="O162" s="252">
        <f>Données!O162</f>
        <v>38199.5</v>
      </c>
      <c r="P162" s="252">
        <f>Données!P162</f>
        <v>8088.43</v>
      </c>
      <c r="Q162" s="252">
        <f>Données!Q162</f>
        <v>267</v>
      </c>
      <c r="R162" s="252">
        <f>Données!R162</f>
        <v>-59.6</v>
      </c>
      <c r="S162" s="244"/>
      <c r="T162" s="236">
        <f t="shared" si="12"/>
        <v>310461.03053394728</v>
      </c>
      <c r="U162" s="253">
        <f t="shared" si="13"/>
        <v>38199.5</v>
      </c>
      <c r="V162" s="253">
        <f t="shared" si="14"/>
        <v>8295.83</v>
      </c>
      <c r="W162" s="254">
        <f t="shared" si="15"/>
        <v>356956.3605339473</v>
      </c>
      <c r="X162" s="236">
        <f t="shared" si="16"/>
        <v>1475.0262831981292</v>
      </c>
      <c r="Y162" s="255">
        <f t="shared" si="17"/>
        <v>0.42597165287071953</v>
      </c>
    </row>
    <row r="163" spans="1:25" x14ac:dyDescent="0.25">
      <c r="A163" s="111">
        <f>Données!A163</f>
        <v>5673</v>
      </c>
      <c r="B163" s="119" t="str">
        <f>Données!B163</f>
        <v>Hermenches</v>
      </c>
      <c r="C163" s="249">
        <f>Données!C163</f>
        <v>364</v>
      </c>
      <c r="D163" s="250">
        <f>Données!D163</f>
        <v>73.5</v>
      </c>
      <c r="E163" s="251">
        <f>Données!E163</f>
        <v>0.6</v>
      </c>
      <c r="F163" s="252">
        <f>Données!F163</f>
        <v>566580</v>
      </c>
      <c r="G163" s="252">
        <f>Données!G163</f>
        <v>80224.509999999995</v>
      </c>
      <c r="H163" s="252">
        <f>Données!H163</f>
        <v>2430.9499999999998</v>
      </c>
      <c r="I163" s="252">
        <f>Données!I163</f>
        <v>1099.2</v>
      </c>
      <c r="J163" s="252">
        <f>Données!J163</f>
        <v>0</v>
      </c>
      <c r="K163" s="252">
        <f>Données!K163</f>
        <v>404.55</v>
      </c>
      <c r="L163" s="252">
        <f>Données!L163</f>
        <v>-5434.24</v>
      </c>
      <c r="M163" s="252">
        <f>Données!M163</f>
        <v>0</v>
      </c>
      <c r="N163" s="252">
        <f>Données!N163</f>
        <v>328.65</v>
      </c>
      <c r="O163" s="252">
        <f>Données!O163</f>
        <v>30509.1</v>
      </c>
      <c r="P163" s="252">
        <f>Données!P163</f>
        <v>6241.5</v>
      </c>
      <c r="Q163" s="252">
        <f>Données!Q163</f>
        <v>408</v>
      </c>
      <c r="R163" s="252">
        <f>Données!R163</f>
        <v>0</v>
      </c>
      <c r="S163" s="244"/>
      <c r="T163" s="236">
        <f t="shared" si="12"/>
        <v>591292.14195136551</v>
      </c>
      <c r="U163" s="253">
        <f t="shared" si="13"/>
        <v>50848.5</v>
      </c>
      <c r="V163" s="253">
        <f t="shared" si="14"/>
        <v>6649.5</v>
      </c>
      <c r="W163" s="254">
        <f t="shared" si="15"/>
        <v>648790.14195136551</v>
      </c>
      <c r="X163" s="236">
        <f t="shared" si="16"/>
        <v>1782.3904998663888</v>
      </c>
      <c r="Y163" s="255">
        <f t="shared" si="17"/>
        <v>0.51473511756208457</v>
      </c>
    </row>
    <row r="164" spans="1:25" x14ac:dyDescent="0.25">
      <c r="A164" s="111">
        <f>Données!A164</f>
        <v>5674</v>
      </c>
      <c r="B164" s="119" t="str">
        <f>Données!B164</f>
        <v>Lovatens</v>
      </c>
      <c r="C164" s="249">
        <f>Données!C164</f>
        <v>152</v>
      </c>
      <c r="D164" s="250">
        <f>Données!D164</f>
        <v>75</v>
      </c>
      <c r="E164" s="251">
        <f>Données!E164</f>
        <v>0.7</v>
      </c>
      <c r="F164" s="252">
        <f>Données!F164</f>
        <v>327208.71000000002</v>
      </c>
      <c r="G164" s="252">
        <f>Données!G164</f>
        <v>41375.26</v>
      </c>
      <c r="H164" s="252">
        <f>Données!H164</f>
        <v>3079.1</v>
      </c>
      <c r="I164" s="252">
        <f>Données!I164</f>
        <v>1005</v>
      </c>
      <c r="J164" s="252">
        <f>Données!J164</f>
        <v>0</v>
      </c>
      <c r="K164" s="252">
        <f>Données!K164</f>
        <v>1761.67</v>
      </c>
      <c r="L164" s="252">
        <f>Données!L164</f>
        <v>-4394.32</v>
      </c>
      <c r="M164" s="252">
        <f>Données!M164</f>
        <v>0</v>
      </c>
      <c r="N164" s="252">
        <f>Données!N164</f>
        <v>380.22</v>
      </c>
      <c r="O164" s="252">
        <f>Données!O164</f>
        <v>16108.95</v>
      </c>
      <c r="P164" s="252">
        <f>Données!P164</f>
        <v>161.11000000000001</v>
      </c>
      <c r="Q164" s="252">
        <f>Données!Q164</f>
        <v>64.099999999999994</v>
      </c>
      <c r="R164" s="252">
        <f>Données!R164</f>
        <v>-402.65</v>
      </c>
      <c r="S164" s="244"/>
      <c r="T164" s="236">
        <f t="shared" si="12"/>
        <v>332453.84595078579</v>
      </c>
      <c r="U164" s="253">
        <f t="shared" si="13"/>
        <v>23012.785714285717</v>
      </c>
      <c r="V164" s="253">
        <f t="shared" si="14"/>
        <v>-177.43999999999997</v>
      </c>
      <c r="W164" s="254">
        <f t="shared" si="15"/>
        <v>355289.19166507153</v>
      </c>
      <c r="X164" s="236">
        <f t="shared" si="16"/>
        <v>2337.4288925333653</v>
      </c>
      <c r="Y164" s="255">
        <f t="shared" si="17"/>
        <v>0.67502420815268349</v>
      </c>
    </row>
    <row r="165" spans="1:25" x14ac:dyDescent="0.25">
      <c r="A165" s="111">
        <f>Données!A165</f>
        <v>5675</v>
      </c>
      <c r="B165" s="119" t="str">
        <f>Données!B165</f>
        <v>Lucens</v>
      </c>
      <c r="C165" s="249">
        <f>Données!C165</f>
        <v>4892</v>
      </c>
      <c r="D165" s="250">
        <f>Données!D165</f>
        <v>69.5</v>
      </c>
      <c r="E165" s="251">
        <f>Données!E165</f>
        <v>1.1000000000000001</v>
      </c>
      <c r="F165" s="252">
        <f>Données!F165</f>
        <v>5031064.32</v>
      </c>
      <c r="G165" s="252">
        <f>Données!G165</f>
        <v>603936.26</v>
      </c>
      <c r="H165" s="252">
        <f>Données!H165</f>
        <v>2473.1499999999901</v>
      </c>
      <c r="I165" s="252">
        <f>Données!I165</f>
        <v>76892.149999999994</v>
      </c>
      <c r="J165" s="252">
        <f>Données!J165</f>
        <v>0</v>
      </c>
      <c r="K165" s="252">
        <f>Données!K165</f>
        <v>36411.879999999997</v>
      </c>
      <c r="L165" s="252">
        <f>Données!L165</f>
        <v>-199784.48</v>
      </c>
      <c r="M165" s="252">
        <f>Données!M165</f>
        <v>0</v>
      </c>
      <c r="N165" s="252">
        <f>Données!N165</f>
        <v>7388.8</v>
      </c>
      <c r="O165" s="252">
        <f>Données!O165</f>
        <v>814451.35</v>
      </c>
      <c r="P165" s="252">
        <f>Données!P165</f>
        <v>349029.01</v>
      </c>
      <c r="Q165" s="252">
        <f>Données!Q165</f>
        <v>-29513</v>
      </c>
      <c r="R165" s="252">
        <f>Données!R165</f>
        <v>-2447.85</v>
      </c>
      <c r="S165" s="244"/>
      <c r="T165" s="236">
        <f t="shared" si="12"/>
        <v>5383527.0714816758</v>
      </c>
      <c r="U165" s="253">
        <f t="shared" si="13"/>
        <v>740410.31818181812</v>
      </c>
      <c r="V165" s="253">
        <f t="shared" si="14"/>
        <v>317068.16000000003</v>
      </c>
      <c r="W165" s="254">
        <f t="shared" si="15"/>
        <v>6441005.5496634943</v>
      </c>
      <c r="X165" s="236">
        <f t="shared" si="16"/>
        <v>1316.6405457202563</v>
      </c>
      <c r="Y165" s="255">
        <f t="shared" si="17"/>
        <v>0.38023156325122159</v>
      </c>
    </row>
    <row r="166" spans="1:25" x14ac:dyDescent="0.25">
      <c r="A166" s="111">
        <f>Données!A166</f>
        <v>5678</v>
      </c>
      <c r="B166" s="119" t="str">
        <f>Données!B166</f>
        <v>Moudon</v>
      </c>
      <c r="C166" s="249">
        <f>Données!C166</f>
        <v>6847</v>
      </c>
      <c r="D166" s="250">
        <f>Données!D166</f>
        <v>72.5</v>
      </c>
      <c r="E166" s="251">
        <f>Données!E166</f>
        <v>1</v>
      </c>
      <c r="F166" s="252">
        <f>Données!F166</f>
        <v>7430420.7599999998</v>
      </c>
      <c r="G166" s="252">
        <f>Données!G166</f>
        <v>774839.17</v>
      </c>
      <c r="H166" s="252">
        <f>Données!H166</f>
        <v>643088.85</v>
      </c>
      <c r="I166" s="252">
        <f>Données!I166</f>
        <v>22909.200000000001</v>
      </c>
      <c r="J166" s="252">
        <f>Données!J166</f>
        <v>0</v>
      </c>
      <c r="K166" s="252">
        <f>Données!K166</f>
        <v>46440.68</v>
      </c>
      <c r="L166" s="252">
        <f>Données!L166</f>
        <v>-313081.40999999997</v>
      </c>
      <c r="M166" s="252">
        <f>Données!M166</f>
        <v>0</v>
      </c>
      <c r="N166" s="252">
        <f>Données!N166</f>
        <v>62217.61</v>
      </c>
      <c r="O166" s="252">
        <f>Données!O166</f>
        <v>994719.8</v>
      </c>
      <c r="P166" s="252">
        <f>Données!P166</f>
        <v>594586.59</v>
      </c>
      <c r="Q166" s="252">
        <f>Données!Q166</f>
        <v>91510.75</v>
      </c>
      <c r="R166" s="252">
        <f>Données!R166</f>
        <v>-3571.99</v>
      </c>
      <c r="S166" s="244"/>
      <c r="T166" s="236">
        <f t="shared" si="12"/>
        <v>8046848.4875828708</v>
      </c>
      <c r="U166" s="253">
        <f t="shared" si="13"/>
        <v>994719.8</v>
      </c>
      <c r="V166" s="253">
        <f t="shared" si="14"/>
        <v>682525.35</v>
      </c>
      <c r="W166" s="254">
        <f t="shared" si="15"/>
        <v>9724093.6375828702</v>
      </c>
      <c r="X166" s="236">
        <f t="shared" si="16"/>
        <v>1420.1976979089923</v>
      </c>
      <c r="Y166" s="255">
        <f t="shared" si="17"/>
        <v>0.4101377498642334</v>
      </c>
    </row>
    <row r="167" spans="1:25" x14ac:dyDescent="0.25">
      <c r="A167" s="111">
        <f>Données!A167</f>
        <v>5680</v>
      </c>
      <c r="B167" s="119" t="str">
        <f>Données!B167</f>
        <v>Ogens</v>
      </c>
      <c r="C167" s="249">
        <f>Données!C167</f>
        <v>342</v>
      </c>
      <c r="D167" s="250">
        <f>Données!D167</f>
        <v>78</v>
      </c>
      <c r="E167" s="251">
        <f>Données!E167</f>
        <v>1.5</v>
      </c>
      <c r="F167" s="252">
        <f>Données!F167</f>
        <v>761265.86</v>
      </c>
      <c r="G167" s="252">
        <f>Données!G167</f>
        <v>79227.649999999994</v>
      </c>
      <c r="H167" s="252">
        <f>Données!H167</f>
        <v>-62609.55</v>
      </c>
      <c r="I167" s="252">
        <f>Données!I167</f>
        <v>5121.55</v>
      </c>
      <c r="J167" s="252">
        <f>Données!J167</f>
        <v>0</v>
      </c>
      <c r="K167" s="252">
        <f>Données!K167</f>
        <v>8.61</v>
      </c>
      <c r="L167" s="252">
        <f>Données!L167</f>
        <v>-4257.97</v>
      </c>
      <c r="M167" s="252">
        <f>Données!M167</f>
        <v>0</v>
      </c>
      <c r="N167" s="252">
        <f>Données!N167</f>
        <v>-5352.05</v>
      </c>
      <c r="O167" s="252">
        <f>Données!O167</f>
        <v>94872.75</v>
      </c>
      <c r="P167" s="252">
        <f>Données!P167</f>
        <v>-5213.5600000000004</v>
      </c>
      <c r="Q167" s="252">
        <f>Données!Q167</f>
        <v>4302.95</v>
      </c>
      <c r="R167" s="252">
        <f>Données!R167</f>
        <v>0</v>
      </c>
      <c r="S167" s="244"/>
      <c r="T167" s="236">
        <f t="shared" si="12"/>
        <v>667444.52757257863</v>
      </c>
      <c r="U167" s="253">
        <f t="shared" si="13"/>
        <v>63248.5</v>
      </c>
      <c r="V167" s="253">
        <f t="shared" si="14"/>
        <v>-910.61000000000058</v>
      </c>
      <c r="W167" s="254">
        <f t="shared" si="15"/>
        <v>729782.41757257865</v>
      </c>
      <c r="X167" s="236">
        <f t="shared" si="16"/>
        <v>2133.8667180484754</v>
      </c>
      <c r="Y167" s="255">
        <f t="shared" si="17"/>
        <v>0.61623765165873456</v>
      </c>
    </row>
    <row r="168" spans="1:25" x14ac:dyDescent="0.25">
      <c r="A168" s="111">
        <f>Données!A168</f>
        <v>5683</v>
      </c>
      <c r="B168" s="119" t="str">
        <f>Données!B168</f>
        <v>Prévonloup</v>
      </c>
      <c r="C168" s="249">
        <f>Données!C168</f>
        <v>249</v>
      </c>
      <c r="D168" s="250">
        <f>Données!D168</f>
        <v>72.5</v>
      </c>
      <c r="E168" s="251">
        <f>Données!E168</f>
        <v>1</v>
      </c>
      <c r="F168" s="252">
        <f>Données!F168</f>
        <v>347658.69</v>
      </c>
      <c r="G168" s="252">
        <f>Données!G168</f>
        <v>22441.15</v>
      </c>
      <c r="H168" s="252">
        <f>Données!H168</f>
        <v>3572.45</v>
      </c>
      <c r="I168" s="252">
        <f>Données!I168</f>
        <v>1267.5999999999999</v>
      </c>
      <c r="J168" s="252">
        <f>Données!J168</f>
        <v>0</v>
      </c>
      <c r="K168" s="252">
        <f>Données!K168</f>
        <v>1457.59</v>
      </c>
      <c r="L168" s="252">
        <f>Données!L168</f>
        <v>-15763.54</v>
      </c>
      <c r="M168" s="252">
        <f>Données!M168</f>
        <v>0</v>
      </c>
      <c r="N168" s="252">
        <f>Données!N168</f>
        <v>450.6</v>
      </c>
      <c r="O168" s="252">
        <f>Données!O168</f>
        <v>34409.65</v>
      </c>
      <c r="P168" s="252">
        <f>Données!P168</f>
        <v>1424.35</v>
      </c>
      <c r="Q168" s="252">
        <f>Données!Q168</f>
        <v>2171.85</v>
      </c>
      <c r="R168" s="252">
        <f>Données!R168</f>
        <v>-273.64999999999998</v>
      </c>
      <c r="S168" s="244"/>
      <c r="T168" s="236">
        <f t="shared" si="12"/>
        <v>335254.17658512504</v>
      </c>
      <c r="U168" s="253">
        <f t="shared" si="13"/>
        <v>34409.65</v>
      </c>
      <c r="V168" s="253">
        <f t="shared" si="14"/>
        <v>3322.5499999999997</v>
      </c>
      <c r="W168" s="254">
        <f t="shared" si="15"/>
        <v>372986.37658512505</v>
      </c>
      <c r="X168" s="236">
        <f t="shared" si="16"/>
        <v>1497.937255361948</v>
      </c>
      <c r="Y168" s="255">
        <f t="shared" si="17"/>
        <v>0.43258809407767668</v>
      </c>
    </row>
    <row r="169" spans="1:25" x14ac:dyDescent="0.25">
      <c r="A169" s="111">
        <f>Données!A169</f>
        <v>5684</v>
      </c>
      <c r="B169" s="119" t="str">
        <f>Données!B169</f>
        <v>Rossenges</v>
      </c>
      <c r="C169" s="249">
        <f>Données!C169</f>
        <v>82</v>
      </c>
      <c r="D169" s="250">
        <f>Données!D169</f>
        <v>65</v>
      </c>
      <c r="E169" s="251">
        <f>Données!E169</f>
        <v>0.8</v>
      </c>
      <c r="F169" s="252">
        <f>Données!F169</f>
        <v>25549.16</v>
      </c>
      <c r="G169" s="252">
        <f>Données!G169</f>
        <v>23932.21</v>
      </c>
      <c r="H169" s="252">
        <f>Données!H169</f>
        <v>1100.7</v>
      </c>
      <c r="I169" s="252">
        <f>Données!I169</f>
        <v>776.1</v>
      </c>
      <c r="J169" s="252">
        <f>Données!J169</f>
        <v>0</v>
      </c>
      <c r="K169" s="252">
        <f>Données!K169</f>
        <v>0</v>
      </c>
      <c r="L169" s="252">
        <f>Données!L169</f>
        <v>-36.479999999999997</v>
      </c>
      <c r="M169" s="252">
        <f>Données!M169</f>
        <v>0</v>
      </c>
      <c r="N169" s="252">
        <f>Données!N169</f>
        <v>174.73</v>
      </c>
      <c r="O169" s="252">
        <f>Données!O169</f>
        <v>11178.1</v>
      </c>
      <c r="P169" s="252">
        <f>Données!P169</f>
        <v>9532.1299999999992</v>
      </c>
      <c r="Q169" s="252">
        <f>Données!Q169</f>
        <v>0</v>
      </c>
      <c r="R169" s="252">
        <f>Données!R169</f>
        <v>-69.150000000000006</v>
      </c>
      <c r="S169" s="244"/>
      <c r="T169" s="236">
        <f t="shared" si="12"/>
        <v>53329.436011904909</v>
      </c>
      <c r="U169" s="253">
        <f t="shared" si="13"/>
        <v>13972.625</v>
      </c>
      <c r="V169" s="253">
        <f t="shared" si="14"/>
        <v>9462.98</v>
      </c>
      <c r="W169" s="254">
        <f t="shared" si="15"/>
        <v>76765.041011904905</v>
      </c>
      <c r="X169" s="236">
        <f t="shared" si="16"/>
        <v>936.15903673054765</v>
      </c>
      <c r="Y169" s="255">
        <f t="shared" si="17"/>
        <v>0.27035261457263621</v>
      </c>
    </row>
    <row r="170" spans="1:25" x14ac:dyDescent="0.25">
      <c r="A170" s="111">
        <f>Données!A170</f>
        <v>5688</v>
      </c>
      <c r="B170" s="119" t="str">
        <f>Données!B170</f>
        <v>Syens</v>
      </c>
      <c r="C170" s="249">
        <f>Données!C170</f>
        <v>144</v>
      </c>
      <c r="D170" s="250">
        <f>Données!D170</f>
        <v>65</v>
      </c>
      <c r="E170" s="251">
        <f>Données!E170</f>
        <v>1</v>
      </c>
      <c r="F170" s="252">
        <f>Données!F170</f>
        <v>215250.6</v>
      </c>
      <c r="G170" s="252">
        <f>Données!G170</f>
        <v>48631.57</v>
      </c>
      <c r="H170" s="252">
        <f>Données!H170</f>
        <v>2952.05</v>
      </c>
      <c r="I170" s="252">
        <f>Données!I170</f>
        <v>1164.75</v>
      </c>
      <c r="J170" s="252">
        <f>Données!J170</f>
        <v>0</v>
      </c>
      <c r="K170" s="252">
        <f>Données!K170</f>
        <v>332.92</v>
      </c>
      <c r="L170" s="252">
        <f>Données!L170</f>
        <v>-9054.9</v>
      </c>
      <c r="M170" s="252">
        <f>Données!M170</f>
        <v>0</v>
      </c>
      <c r="N170" s="252">
        <f>Données!N170</f>
        <v>383.27</v>
      </c>
      <c r="O170" s="252">
        <f>Données!O170</f>
        <v>26322</v>
      </c>
      <c r="P170" s="252">
        <f>Données!P170</f>
        <v>4200.21</v>
      </c>
      <c r="Q170" s="252">
        <f>Données!Q170</f>
        <v>814.5</v>
      </c>
      <c r="R170" s="252">
        <f>Données!R170</f>
        <v>-35.4</v>
      </c>
      <c r="S170" s="244"/>
      <c r="T170" s="236">
        <f t="shared" si="12"/>
        <v>268902.8717045688</v>
      </c>
      <c r="U170" s="253">
        <f t="shared" si="13"/>
        <v>26322</v>
      </c>
      <c r="V170" s="253">
        <f t="shared" si="14"/>
        <v>4979.3100000000004</v>
      </c>
      <c r="W170" s="254">
        <f t="shared" si="15"/>
        <v>300204.18170456879</v>
      </c>
      <c r="X170" s="236">
        <f t="shared" si="16"/>
        <v>2084.7512618372834</v>
      </c>
      <c r="Y170" s="255">
        <f t="shared" si="17"/>
        <v>0.602053638599375</v>
      </c>
    </row>
    <row r="171" spans="1:25" x14ac:dyDescent="0.25">
      <c r="A171" s="111">
        <f>Données!A171</f>
        <v>5690</v>
      </c>
      <c r="B171" s="119" t="str">
        <f>Données!B171</f>
        <v>Villars-le-Comte</v>
      </c>
      <c r="C171" s="249">
        <f>Données!C171</f>
        <v>129</v>
      </c>
      <c r="D171" s="250">
        <f>Données!D171</f>
        <v>68</v>
      </c>
      <c r="E171" s="251">
        <f>Données!E171</f>
        <v>1</v>
      </c>
      <c r="F171" s="252">
        <f>Données!F171</f>
        <v>250454.99</v>
      </c>
      <c r="G171" s="252">
        <f>Données!G171</f>
        <v>32901.49</v>
      </c>
      <c r="H171" s="252">
        <f>Données!H171</f>
        <v>2418.0500000000002</v>
      </c>
      <c r="I171" s="252">
        <f>Données!I171</f>
        <v>1323.35</v>
      </c>
      <c r="J171" s="252">
        <f>Données!J171</f>
        <v>0</v>
      </c>
      <c r="K171" s="252">
        <f>Données!K171</f>
        <v>0</v>
      </c>
      <c r="L171" s="252">
        <f>Données!L171</f>
        <v>-41.17</v>
      </c>
      <c r="M171" s="252">
        <f>Données!M171</f>
        <v>0</v>
      </c>
      <c r="N171" s="252">
        <f>Données!N171</f>
        <v>348.32</v>
      </c>
      <c r="O171" s="252">
        <f>Données!O171</f>
        <v>25732.6</v>
      </c>
      <c r="P171" s="252">
        <f>Données!P171</f>
        <v>-6696.62</v>
      </c>
      <c r="Q171" s="252">
        <f>Données!Q171</f>
        <v>184.3</v>
      </c>
      <c r="R171" s="252">
        <f>Données!R171</f>
        <v>0</v>
      </c>
      <c r="S171" s="244"/>
      <c r="T171" s="236">
        <f t="shared" si="12"/>
        <v>284504.25183111522</v>
      </c>
      <c r="U171" s="253">
        <f t="shared" si="13"/>
        <v>25732.6</v>
      </c>
      <c r="V171" s="253">
        <f t="shared" si="14"/>
        <v>-6512.32</v>
      </c>
      <c r="W171" s="254">
        <f t="shared" si="15"/>
        <v>303724.53183111519</v>
      </c>
      <c r="X171" s="236">
        <f t="shared" si="16"/>
        <v>2354.4537351249242</v>
      </c>
      <c r="Y171" s="255">
        <f t="shared" si="17"/>
        <v>0.67994079873903301</v>
      </c>
    </row>
    <row r="172" spans="1:25" x14ac:dyDescent="0.25">
      <c r="A172" s="111">
        <f>Données!A172</f>
        <v>5692</v>
      </c>
      <c r="B172" s="119" t="str">
        <f>Données!B172</f>
        <v>Vucherens</v>
      </c>
      <c r="C172" s="249">
        <f>Données!C172</f>
        <v>634</v>
      </c>
      <c r="D172" s="250">
        <f>Données!D172</f>
        <v>75</v>
      </c>
      <c r="E172" s="251">
        <f>Données!E172</f>
        <v>1</v>
      </c>
      <c r="F172" s="252">
        <f>Données!F172</f>
        <v>1022748.44</v>
      </c>
      <c r="G172" s="252">
        <f>Données!G172</f>
        <v>107506.59</v>
      </c>
      <c r="H172" s="252">
        <f>Données!H172</f>
        <v>22190.1</v>
      </c>
      <c r="I172" s="252">
        <f>Données!I172</f>
        <v>2941.65</v>
      </c>
      <c r="J172" s="252">
        <f>Données!J172</f>
        <v>0</v>
      </c>
      <c r="K172" s="252">
        <f>Données!K172</f>
        <v>1419.34</v>
      </c>
      <c r="L172" s="252">
        <f>Données!L172</f>
        <v>-9089.24</v>
      </c>
      <c r="M172" s="252">
        <f>Données!M172</f>
        <v>0</v>
      </c>
      <c r="N172" s="252">
        <f>Données!N172</f>
        <v>2339.73</v>
      </c>
      <c r="O172" s="252">
        <f>Données!O172</f>
        <v>119624</v>
      </c>
      <c r="P172" s="252">
        <f>Données!P172</f>
        <v>16279.97</v>
      </c>
      <c r="Q172" s="252">
        <f>Données!Q172</f>
        <v>4766.5</v>
      </c>
      <c r="R172" s="252">
        <f>Données!R172</f>
        <v>-814.25</v>
      </c>
      <c r="S172" s="244"/>
      <c r="T172" s="236">
        <f t="shared" si="12"/>
        <v>1032193.8432611079</v>
      </c>
      <c r="U172" s="253">
        <f t="shared" si="13"/>
        <v>119624</v>
      </c>
      <c r="V172" s="253">
        <f t="shared" si="14"/>
        <v>20232.22</v>
      </c>
      <c r="W172" s="254">
        <f t="shared" si="15"/>
        <v>1172050.0632611078</v>
      </c>
      <c r="X172" s="236">
        <f t="shared" si="16"/>
        <v>1848.6594057746179</v>
      </c>
      <c r="Y172" s="255">
        <f t="shared" si="17"/>
        <v>0.53387286155025093</v>
      </c>
    </row>
    <row r="173" spans="1:25" x14ac:dyDescent="0.25">
      <c r="A173" s="111">
        <f>Données!A173</f>
        <v>5693</v>
      </c>
      <c r="B173" s="119" t="str">
        <f>Données!B173</f>
        <v>Montanaire</v>
      </c>
      <c r="C173" s="249">
        <f>Données!C173</f>
        <v>2856</v>
      </c>
      <c r="D173" s="250">
        <f>Données!D173</f>
        <v>70</v>
      </c>
      <c r="E173" s="251">
        <f>Données!E173</f>
        <v>1</v>
      </c>
      <c r="F173" s="252">
        <f>Données!F173</f>
        <v>4186201.58</v>
      </c>
      <c r="G173" s="252">
        <f>Données!G173</f>
        <v>634476.19999999995</v>
      </c>
      <c r="H173" s="252">
        <f>Données!H173</f>
        <v>173604.85</v>
      </c>
      <c r="I173" s="252">
        <f>Données!I173</f>
        <v>4757.3999999999996</v>
      </c>
      <c r="J173" s="252">
        <f>Données!J173</f>
        <v>0</v>
      </c>
      <c r="K173" s="252">
        <f>Données!K173</f>
        <v>13967.84</v>
      </c>
      <c r="L173" s="252">
        <f>Données!L173</f>
        <v>-108771.16</v>
      </c>
      <c r="M173" s="252">
        <f>Données!M173</f>
        <v>0</v>
      </c>
      <c r="N173" s="252">
        <f>Données!N173</f>
        <v>16605.28</v>
      </c>
      <c r="O173" s="252">
        <f>Données!O173</f>
        <v>486053.65</v>
      </c>
      <c r="P173" s="252">
        <f>Données!P173</f>
        <v>69908.22</v>
      </c>
      <c r="Q173" s="252">
        <f>Données!Q173</f>
        <v>13661.1</v>
      </c>
      <c r="R173" s="252">
        <f>Données!R173</f>
        <v>-1343.5</v>
      </c>
      <c r="S173" s="244"/>
      <c r="T173" s="236">
        <f t="shared" si="12"/>
        <v>4731999.4898885321</v>
      </c>
      <c r="U173" s="253">
        <f t="shared" si="13"/>
        <v>486053.65</v>
      </c>
      <c r="V173" s="253">
        <f t="shared" si="14"/>
        <v>82225.820000000007</v>
      </c>
      <c r="W173" s="254">
        <f t="shared" si="15"/>
        <v>5300278.9598885328</v>
      </c>
      <c r="X173" s="236">
        <f t="shared" si="16"/>
        <v>1855.8399719497663</v>
      </c>
      <c r="Y173" s="255">
        <f t="shared" si="17"/>
        <v>0.53594653147533444</v>
      </c>
    </row>
    <row r="174" spans="1:25" x14ac:dyDescent="0.25">
      <c r="A174" s="111">
        <f>Données!A174</f>
        <v>5701</v>
      </c>
      <c r="B174" s="119" t="str">
        <f>Données!B174</f>
        <v>Arnex-sur-Nyon</v>
      </c>
      <c r="C174" s="249">
        <f>Données!C174</f>
        <v>274</v>
      </c>
      <c r="D174" s="250">
        <f>Données!D174</f>
        <v>68</v>
      </c>
      <c r="E174" s="251">
        <f>Données!E174</f>
        <v>1</v>
      </c>
      <c r="F174" s="252">
        <f>Données!F174</f>
        <v>698092.47</v>
      </c>
      <c r="G174" s="252">
        <f>Données!G174</f>
        <v>175046.57</v>
      </c>
      <c r="H174" s="252">
        <f>Données!H174</f>
        <v>20548.599999999999</v>
      </c>
      <c r="I174" s="252">
        <f>Données!I174</f>
        <v>2105.3000000000002</v>
      </c>
      <c r="J174" s="252">
        <f>Données!J174</f>
        <v>265291.5</v>
      </c>
      <c r="K174" s="252">
        <f>Données!K174</f>
        <v>0</v>
      </c>
      <c r="L174" s="252">
        <f>Données!L174</f>
        <v>2638.75</v>
      </c>
      <c r="M174" s="252">
        <f>Données!M174</f>
        <v>0</v>
      </c>
      <c r="N174" s="252">
        <f>Données!N174</f>
        <v>2109.0500000000002</v>
      </c>
      <c r="O174" s="252">
        <f>Données!O174</f>
        <v>85176.8</v>
      </c>
      <c r="P174" s="252">
        <f>Données!P174</f>
        <v>32786.870000000003</v>
      </c>
      <c r="Q174" s="252">
        <f>Données!Q174</f>
        <v>3410.5</v>
      </c>
      <c r="R174" s="252">
        <f>Données!R174</f>
        <v>-2408.5</v>
      </c>
      <c r="S174" s="244"/>
      <c r="T174" s="236">
        <f t="shared" si="12"/>
        <v>1154065.498442366</v>
      </c>
      <c r="U174" s="253">
        <f t="shared" si="13"/>
        <v>85176.8</v>
      </c>
      <c r="V174" s="253">
        <f t="shared" si="14"/>
        <v>33788.870000000003</v>
      </c>
      <c r="W174" s="254">
        <f t="shared" si="15"/>
        <v>1273031.1684423662</v>
      </c>
      <c r="X174" s="236">
        <f t="shared" si="16"/>
        <v>4646.0991548991469</v>
      </c>
      <c r="Y174" s="255">
        <f t="shared" si="17"/>
        <v>1.3417432346510969</v>
      </c>
    </row>
    <row r="175" spans="1:25" x14ac:dyDescent="0.25">
      <c r="A175" s="111">
        <f>Données!A175</f>
        <v>5702</v>
      </c>
      <c r="B175" s="119" t="str">
        <f>Données!B175</f>
        <v>Arzier-Le Muids</v>
      </c>
      <c r="C175" s="249">
        <f>Données!C175</f>
        <v>2999</v>
      </c>
      <c r="D175" s="250">
        <f>Données!D175</f>
        <v>64</v>
      </c>
      <c r="E175" s="251">
        <f>Données!E175</f>
        <v>1.5</v>
      </c>
      <c r="F175" s="252">
        <f>Données!F175</f>
        <v>9054123.9199999999</v>
      </c>
      <c r="G175" s="252">
        <f>Données!G175</f>
        <v>1796395.29</v>
      </c>
      <c r="H175" s="252">
        <f>Données!H175</f>
        <v>88772.95</v>
      </c>
      <c r="I175" s="252">
        <f>Données!I175</f>
        <v>19319.900000000001</v>
      </c>
      <c r="J175" s="252">
        <f>Données!J175</f>
        <v>301171.25</v>
      </c>
      <c r="K175" s="252">
        <f>Données!K175</f>
        <v>20763.13</v>
      </c>
      <c r="L175" s="252">
        <f>Données!L175</f>
        <v>-128177.78</v>
      </c>
      <c r="M175" s="252">
        <f>Données!M175</f>
        <v>0</v>
      </c>
      <c r="N175" s="252">
        <f>Données!N175</f>
        <v>10063.290000000001</v>
      </c>
      <c r="O175" s="252">
        <f>Données!O175</f>
        <v>1388271.4</v>
      </c>
      <c r="P175" s="252">
        <f>Données!P175</f>
        <v>58153.67</v>
      </c>
      <c r="Q175" s="252">
        <f>Données!Q175</f>
        <v>20086.55</v>
      </c>
      <c r="R175" s="252">
        <f>Données!R175</f>
        <v>-37428.81</v>
      </c>
      <c r="S175" s="244"/>
      <c r="T175" s="236">
        <f t="shared" si="12"/>
        <v>11740380.152566893</v>
      </c>
      <c r="U175" s="253">
        <f t="shared" si="13"/>
        <v>925514.2666666666</v>
      </c>
      <c r="V175" s="253">
        <f t="shared" si="14"/>
        <v>40811.410000000003</v>
      </c>
      <c r="W175" s="254">
        <f t="shared" si="15"/>
        <v>12706705.829233561</v>
      </c>
      <c r="X175" s="236">
        <f t="shared" si="16"/>
        <v>4236.9809367234284</v>
      </c>
      <c r="Y175" s="255">
        <f t="shared" si="17"/>
        <v>1.2235943137803589</v>
      </c>
    </row>
    <row r="176" spans="1:25" x14ac:dyDescent="0.25">
      <c r="A176" s="111">
        <f>Données!A176</f>
        <v>5703</v>
      </c>
      <c r="B176" s="119" t="str">
        <f>Données!B176</f>
        <v>Bassins</v>
      </c>
      <c r="C176" s="249">
        <f>Données!C176</f>
        <v>1468</v>
      </c>
      <c r="D176" s="250">
        <f>Données!D176</f>
        <v>72.5</v>
      </c>
      <c r="E176" s="251">
        <f>Données!E176</f>
        <v>1.4</v>
      </c>
      <c r="F176" s="252">
        <f>Données!F176</f>
        <v>4019188.35</v>
      </c>
      <c r="G176" s="252">
        <f>Données!G176</f>
        <v>585534.96</v>
      </c>
      <c r="H176" s="252">
        <f>Données!H176</f>
        <v>29766.15</v>
      </c>
      <c r="I176" s="252">
        <f>Données!I176</f>
        <v>3025.7</v>
      </c>
      <c r="J176" s="252">
        <f>Données!J176</f>
        <v>0</v>
      </c>
      <c r="K176" s="252">
        <f>Données!K176</f>
        <v>948.47</v>
      </c>
      <c r="L176" s="252">
        <f>Données!L176</f>
        <v>-64507.08</v>
      </c>
      <c r="M176" s="252">
        <f>Données!M176</f>
        <v>0</v>
      </c>
      <c r="N176" s="252">
        <f>Données!N176</f>
        <v>3052.88</v>
      </c>
      <c r="O176" s="252">
        <f>Données!O176</f>
        <v>509412.1</v>
      </c>
      <c r="P176" s="252">
        <f>Données!P176</f>
        <v>38711.07</v>
      </c>
      <c r="Q176" s="252">
        <f>Données!Q176</f>
        <v>4642.1499999999996</v>
      </c>
      <c r="R176" s="252">
        <f>Données!R176</f>
        <v>-3708.51</v>
      </c>
      <c r="S176" s="244"/>
      <c r="T176" s="236">
        <f t="shared" si="12"/>
        <v>4249590.7680705534</v>
      </c>
      <c r="U176" s="253">
        <f t="shared" si="13"/>
        <v>363865.78571428574</v>
      </c>
      <c r="V176" s="253">
        <f t="shared" si="14"/>
        <v>39644.71</v>
      </c>
      <c r="W176" s="254">
        <f t="shared" si="15"/>
        <v>4653101.2637848388</v>
      </c>
      <c r="X176" s="236">
        <f t="shared" si="16"/>
        <v>3169.6875093902172</v>
      </c>
      <c r="Y176" s="255">
        <f t="shared" si="17"/>
        <v>0.91537150411391233</v>
      </c>
    </row>
    <row r="177" spans="1:25" x14ac:dyDescent="0.25">
      <c r="A177" s="111">
        <f>Données!A177</f>
        <v>5704</v>
      </c>
      <c r="B177" s="119" t="str">
        <f>Données!B177</f>
        <v>Begnins</v>
      </c>
      <c r="C177" s="249">
        <f>Données!C177</f>
        <v>2047</v>
      </c>
      <c r="D177" s="250">
        <f>Données!D177</f>
        <v>62.5</v>
      </c>
      <c r="E177" s="251">
        <f>Données!E177</f>
        <v>1.5</v>
      </c>
      <c r="F177" s="252">
        <f>Données!F177</f>
        <v>7459796.4400000004</v>
      </c>
      <c r="G177" s="252">
        <f>Données!G177</f>
        <v>1712334.63</v>
      </c>
      <c r="H177" s="252">
        <f>Données!H177</f>
        <v>38139.449999999997</v>
      </c>
      <c r="I177" s="252">
        <f>Données!I177</f>
        <v>10562.4</v>
      </c>
      <c r="J177" s="252">
        <f>Données!J177</f>
        <v>178674.45</v>
      </c>
      <c r="K177" s="252">
        <f>Données!K177</f>
        <v>16982.03</v>
      </c>
      <c r="L177" s="252">
        <f>Données!L177</f>
        <v>-50985.64</v>
      </c>
      <c r="M177" s="252">
        <f>Données!M177</f>
        <v>0</v>
      </c>
      <c r="N177" s="252">
        <f>Données!N177</f>
        <v>4534.07</v>
      </c>
      <c r="O177" s="252">
        <f>Données!O177</f>
        <v>891328.55</v>
      </c>
      <c r="P177" s="252">
        <f>Données!P177</f>
        <v>111060.82</v>
      </c>
      <c r="Q177" s="252">
        <f>Données!Q177</f>
        <v>25679.95</v>
      </c>
      <c r="R177" s="252">
        <f>Données!R177</f>
        <v>-18301.02</v>
      </c>
      <c r="S177" s="244"/>
      <c r="T177" s="236">
        <f t="shared" si="12"/>
        <v>10091707.077879934</v>
      </c>
      <c r="U177" s="253">
        <f t="shared" si="13"/>
        <v>594219.03333333333</v>
      </c>
      <c r="V177" s="253">
        <f t="shared" si="14"/>
        <v>118439.75000000001</v>
      </c>
      <c r="W177" s="254">
        <f t="shared" si="15"/>
        <v>10804365.861213267</v>
      </c>
      <c r="X177" s="236">
        <f t="shared" si="16"/>
        <v>5278.1464881354505</v>
      </c>
      <c r="Y177" s="255">
        <f t="shared" si="17"/>
        <v>1.5242716751934913</v>
      </c>
    </row>
    <row r="178" spans="1:25" x14ac:dyDescent="0.25">
      <c r="A178" s="111">
        <f>Données!A178</f>
        <v>5705</v>
      </c>
      <c r="B178" s="119" t="str">
        <f>Données!B178</f>
        <v>Bogis-Bossey</v>
      </c>
      <c r="C178" s="249">
        <f>Données!C178</f>
        <v>961</v>
      </c>
      <c r="D178" s="250">
        <f>Données!D178</f>
        <v>70</v>
      </c>
      <c r="E178" s="251">
        <f>Données!E178</f>
        <v>1</v>
      </c>
      <c r="F178" s="252">
        <f>Données!F178</f>
        <v>3316905.9</v>
      </c>
      <c r="G178" s="252">
        <f>Données!G178</f>
        <v>504258.26</v>
      </c>
      <c r="H178" s="252">
        <f>Données!H178</f>
        <v>74184.100000000006</v>
      </c>
      <c r="I178" s="252">
        <f>Données!I178</f>
        <v>2625.9</v>
      </c>
      <c r="J178" s="252">
        <f>Données!J178</f>
        <v>0</v>
      </c>
      <c r="K178" s="252">
        <f>Données!K178</f>
        <v>455.49</v>
      </c>
      <c r="L178" s="252">
        <f>Données!L178</f>
        <v>-1329.12</v>
      </c>
      <c r="M178" s="252">
        <f>Données!M178</f>
        <v>0</v>
      </c>
      <c r="N178" s="252">
        <f>Données!N178</f>
        <v>7150.9</v>
      </c>
      <c r="O178" s="252">
        <f>Données!O178</f>
        <v>272103.40000000002</v>
      </c>
      <c r="P178" s="252">
        <f>Données!P178</f>
        <v>6101.23</v>
      </c>
      <c r="Q178" s="252">
        <f>Données!Q178</f>
        <v>9444.4500000000007</v>
      </c>
      <c r="R178" s="252">
        <f>Données!R178</f>
        <v>-15387.54</v>
      </c>
      <c r="S178" s="244"/>
      <c r="T178" s="236">
        <f t="shared" si="12"/>
        <v>3754421.6645648824</v>
      </c>
      <c r="U178" s="253">
        <f t="shared" si="13"/>
        <v>272103.40000000002</v>
      </c>
      <c r="V178" s="253">
        <f t="shared" si="14"/>
        <v>158.13999999999942</v>
      </c>
      <c r="W178" s="254">
        <f t="shared" si="15"/>
        <v>4026683.2045648824</v>
      </c>
      <c r="X178" s="236">
        <f t="shared" si="16"/>
        <v>4190.0969870602312</v>
      </c>
      <c r="Y178" s="255">
        <f t="shared" si="17"/>
        <v>1.2100547357005442</v>
      </c>
    </row>
    <row r="179" spans="1:25" x14ac:dyDescent="0.25">
      <c r="A179" s="111">
        <f>Données!A179</f>
        <v>5706</v>
      </c>
      <c r="B179" s="119" t="str">
        <f>Données!B179</f>
        <v>Borex</v>
      </c>
      <c r="C179" s="249">
        <f>Données!C179</f>
        <v>1168</v>
      </c>
      <c r="D179" s="250">
        <f>Données!D179</f>
        <v>57</v>
      </c>
      <c r="E179" s="251">
        <f>Données!E179</f>
        <v>1.5</v>
      </c>
      <c r="F179" s="252">
        <f>Données!F179</f>
        <v>3518609.6</v>
      </c>
      <c r="G179" s="252">
        <f>Données!G179</f>
        <v>702111.41</v>
      </c>
      <c r="H179" s="252">
        <f>Données!H179</f>
        <v>41901.1</v>
      </c>
      <c r="I179" s="252">
        <f>Données!I179</f>
        <v>3022.55</v>
      </c>
      <c r="J179" s="252">
        <f>Données!J179</f>
        <v>51492.5</v>
      </c>
      <c r="K179" s="252">
        <f>Données!K179</f>
        <v>104.14</v>
      </c>
      <c r="L179" s="252">
        <f>Données!L179</f>
        <v>-15825.99</v>
      </c>
      <c r="M179" s="252">
        <f>Données!M179</f>
        <v>0</v>
      </c>
      <c r="N179" s="252">
        <f>Données!N179</f>
        <v>4182.33</v>
      </c>
      <c r="O179" s="252">
        <f>Données!O179</f>
        <v>458329.95</v>
      </c>
      <c r="P179" s="252">
        <f>Données!P179</f>
        <v>4707.58</v>
      </c>
      <c r="Q179" s="252">
        <f>Données!Q179</f>
        <v>11042.75</v>
      </c>
      <c r="R179" s="252">
        <f>Données!R179</f>
        <v>-46287.5</v>
      </c>
      <c r="S179" s="244"/>
      <c r="T179" s="236">
        <f t="shared" si="12"/>
        <v>5084659.7427924993</v>
      </c>
      <c r="U179" s="253">
        <f t="shared" si="13"/>
        <v>305553.3</v>
      </c>
      <c r="V179" s="253">
        <f t="shared" si="14"/>
        <v>-30537.17</v>
      </c>
      <c r="W179" s="254">
        <f t="shared" si="15"/>
        <v>5359675.8727924991</v>
      </c>
      <c r="X179" s="236">
        <f t="shared" si="16"/>
        <v>4588.7635897196051</v>
      </c>
      <c r="Y179" s="255">
        <f t="shared" si="17"/>
        <v>1.325185342940278</v>
      </c>
    </row>
    <row r="180" spans="1:25" x14ac:dyDescent="0.25">
      <c r="A180" s="111">
        <f>Données!A180</f>
        <v>5707</v>
      </c>
      <c r="B180" s="119" t="str">
        <f>Données!B180</f>
        <v>Chavannes-de-Bogis</v>
      </c>
      <c r="C180" s="249">
        <f>Données!C180</f>
        <v>1423</v>
      </c>
      <c r="D180" s="250">
        <f>Données!D180</f>
        <v>58</v>
      </c>
      <c r="E180" s="251">
        <f>Données!E180</f>
        <v>1.5</v>
      </c>
      <c r="F180" s="252">
        <f>Données!F180</f>
        <v>3507789.35</v>
      </c>
      <c r="G180" s="252">
        <f>Données!G180</f>
        <v>626654.16</v>
      </c>
      <c r="H180" s="252">
        <f>Données!H180</f>
        <v>160597</v>
      </c>
      <c r="I180" s="252">
        <f>Données!I180</f>
        <v>42223.6</v>
      </c>
      <c r="J180" s="252">
        <f>Données!J180</f>
        <v>34636.15</v>
      </c>
      <c r="K180" s="252">
        <f>Données!K180</f>
        <v>50147.81</v>
      </c>
      <c r="L180" s="252">
        <f>Données!L180</f>
        <v>-68646.61</v>
      </c>
      <c r="M180" s="252">
        <f>Données!M180</f>
        <v>0</v>
      </c>
      <c r="N180" s="252">
        <f>Données!N180</f>
        <v>18952.14</v>
      </c>
      <c r="O180" s="252">
        <f>Données!O180</f>
        <v>790817.6</v>
      </c>
      <c r="P180" s="252">
        <f>Données!P180</f>
        <v>65404.2</v>
      </c>
      <c r="Q180" s="252">
        <f>Données!Q180</f>
        <v>57098.45</v>
      </c>
      <c r="R180" s="252">
        <f>Données!R180</f>
        <v>-2532.9899999999998</v>
      </c>
      <c r="S180" s="244"/>
      <c r="T180" s="236">
        <f t="shared" si="12"/>
        <v>5074468.869212064</v>
      </c>
      <c r="U180" s="253">
        <f t="shared" si="13"/>
        <v>527211.73333333328</v>
      </c>
      <c r="V180" s="253">
        <f t="shared" si="14"/>
        <v>119969.65999999999</v>
      </c>
      <c r="W180" s="254">
        <f t="shared" si="15"/>
        <v>5721650.2625453975</v>
      </c>
      <c r="X180" s="236">
        <f t="shared" si="16"/>
        <v>4020.8364459208697</v>
      </c>
      <c r="Y180" s="255">
        <f t="shared" si="17"/>
        <v>1.1611741202862891</v>
      </c>
    </row>
    <row r="181" spans="1:25" x14ac:dyDescent="0.25">
      <c r="A181" s="111">
        <f>Données!A181</f>
        <v>5708</v>
      </c>
      <c r="B181" s="119" t="str">
        <f>Données!B181</f>
        <v>Chavannes-des-Bois</v>
      </c>
      <c r="C181" s="249">
        <f>Données!C181</f>
        <v>983</v>
      </c>
      <c r="D181" s="250">
        <f>Données!D181</f>
        <v>66</v>
      </c>
      <c r="E181" s="251">
        <f>Données!E181</f>
        <v>1.5</v>
      </c>
      <c r="F181" s="252">
        <f>Données!F181</f>
        <v>3455574.51</v>
      </c>
      <c r="G181" s="252">
        <f>Données!G181</f>
        <v>792859.76</v>
      </c>
      <c r="H181" s="252">
        <f>Données!H181</f>
        <v>46925.5</v>
      </c>
      <c r="I181" s="252">
        <f>Données!I181</f>
        <v>1072.9000000000001</v>
      </c>
      <c r="J181" s="252">
        <f>Données!J181</f>
        <v>0</v>
      </c>
      <c r="K181" s="252">
        <f>Données!K181</f>
        <v>0</v>
      </c>
      <c r="L181" s="252">
        <f>Données!L181</f>
        <v>-4669.21</v>
      </c>
      <c r="M181" s="252">
        <f>Données!M181</f>
        <v>0</v>
      </c>
      <c r="N181" s="252">
        <f>Données!N181</f>
        <v>4468.58</v>
      </c>
      <c r="O181" s="252">
        <f>Données!O181</f>
        <v>462982.05</v>
      </c>
      <c r="P181" s="252">
        <f>Données!P181</f>
        <v>2384.79</v>
      </c>
      <c r="Q181" s="252">
        <f>Données!Q181</f>
        <v>13715.8</v>
      </c>
      <c r="R181" s="252">
        <f>Données!R181</f>
        <v>-10384.57</v>
      </c>
      <c r="S181" s="244"/>
      <c r="T181" s="236">
        <f t="shared" si="12"/>
        <v>4381745.035961465</v>
      </c>
      <c r="U181" s="253">
        <f t="shared" si="13"/>
        <v>308654.7</v>
      </c>
      <c r="V181" s="253">
        <f t="shared" si="14"/>
        <v>5716.02</v>
      </c>
      <c r="W181" s="254">
        <f t="shared" si="15"/>
        <v>4696115.7559614647</v>
      </c>
      <c r="X181" s="236">
        <f t="shared" si="16"/>
        <v>4777.3303722904011</v>
      </c>
      <c r="Y181" s="255">
        <f t="shared" si="17"/>
        <v>1.3796413922752349</v>
      </c>
    </row>
    <row r="182" spans="1:25" x14ac:dyDescent="0.25">
      <c r="A182" s="111">
        <f>Données!A182</f>
        <v>5709</v>
      </c>
      <c r="B182" s="119" t="str">
        <f>Données!B182</f>
        <v>Chéserex</v>
      </c>
      <c r="C182" s="249">
        <f>Données!C182</f>
        <v>1272</v>
      </c>
      <c r="D182" s="250">
        <f>Données!D182</f>
        <v>59</v>
      </c>
      <c r="E182" s="251">
        <f>Données!E182</f>
        <v>1</v>
      </c>
      <c r="F182" s="252">
        <f>Données!F182</f>
        <v>5077754.0599999996</v>
      </c>
      <c r="G182" s="252">
        <f>Données!G182</f>
        <v>1022136.39</v>
      </c>
      <c r="H182" s="252">
        <f>Données!H182</f>
        <v>12126.25</v>
      </c>
      <c r="I182" s="252">
        <f>Données!I182</f>
        <v>13991.45</v>
      </c>
      <c r="J182" s="252">
        <f>Données!J182</f>
        <v>618015.19999999995</v>
      </c>
      <c r="K182" s="252">
        <f>Données!K182</f>
        <v>5562.75</v>
      </c>
      <c r="L182" s="252">
        <f>Données!L182</f>
        <v>-11909.49</v>
      </c>
      <c r="M182" s="252">
        <f>Données!M182</f>
        <v>0</v>
      </c>
      <c r="N182" s="252">
        <f>Données!N182</f>
        <v>2431.52</v>
      </c>
      <c r="O182" s="252">
        <f>Données!O182</f>
        <v>428184.5</v>
      </c>
      <c r="P182" s="252">
        <f>Données!P182</f>
        <v>70952.41</v>
      </c>
      <c r="Q182" s="252">
        <f>Données!Q182</f>
        <v>12092.85</v>
      </c>
      <c r="R182" s="252">
        <f>Données!R182</f>
        <v>-8150.1</v>
      </c>
      <c r="S182" s="244"/>
      <c r="T182" s="236">
        <f t="shared" si="12"/>
        <v>7689855.1888441881</v>
      </c>
      <c r="U182" s="253">
        <f t="shared" si="13"/>
        <v>428184.5</v>
      </c>
      <c r="V182" s="253">
        <f t="shared" si="14"/>
        <v>74895.16</v>
      </c>
      <c r="W182" s="254">
        <f t="shared" si="15"/>
        <v>8192934.8488441883</v>
      </c>
      <c r="X182" s="236">
        <f t="shared" si="16"/>
        <v>6440.9865163869408</v>
      </c>
      <c r="Y182" s="255">
        <f t="shared" si="17"/>
        <v>1.8600873108203626</v>
      </c>
    </row>
    <row r="183" spans="1:25" x14ac:dyDescent="0.25">
      <c r="A183" s="111">
        <f>Données!A183</f>
        <v>5710</v>
      </c>
      <c r="B183" s="119" t="str">
        <f>Données!B183</f>
        <v>Coinsins</v>
      </c>
      <c r="C183" s="249">
        <f>Données!C183</f>
        <v>510</v>
      </c>
      <c r="D183" s="250">
        <f>Données!D183</f>
        <v>49</v>
      </c>
      <c r="E183" s="251">
        <f>Données!E183</f>
        <v>1</v>
      </c>
      <c r="F183" s="252">
        <f>Données!F183</f>
        <v>1060830.3799999999</v>
      </c>
      <c r="G183" s="252">
        <f>Données!G183</f>
        <v>217330.25</v>
      </c>
      <c r="H183" s="252">
        <f>Données!H183</f>
        <v>-9663.9</v>
      </c>
      <c r="I183" s="252">
        <f>Données!I183</f>
        <v>1094.9000000000001</v>
      </c>
      <c r="J183" s="252">
        <f>Données!J183</f>
        <v>0</v>
      </c>
      <c r="K183" s="252">
        <f>Données!K183</f>
        <v>35.630000000000003</v>
      </c>
      <c r="L183" s="252">
        <f>Données!L183</f>
        <v>-244.42</v>
      </c>
      <c r="M183" s="252">
        <f>Données!M183</f>
        <v>0</v>
      </c>
      <c r="N183" s="252">
        <f>Données!N183</f>
        <v>-797.76</v>
      </c>
      <c r="O183" s="252">
        <f>Données!O183</f>
        <v>137509.29999999999</v>
      </c>
      <c r="P183" s="252">
        <f>Données!P183</f>
        <v>7234.83</v>
      </c>
      <c r="Q183" s="252">
        <f>Données!Q183</f>
        <v>6690.85</v>
      </c>
      <c r="R183" s="252">
        <f>Données!R183</f>
        <v>-1626.24</v>
      </c>
      <c r="S183" s="244"/>
      <c r="T183" s="236">
        <f t="shared" si="12"/>
        <v>1742716.842721289</v>
      </c>
      <c r="U183" s="253">
        <f t="shared" si="13"/>
        <v>137509.29999999999</v>
      </c>
      <c r="V183" s="253">
        <f t="shared" si="14"/>
        <v>12299.44</v>
      </c>
      <c r="W183" s="254">
        <f t="shared" si="15"/>
        <v>1892525.582721289</v>
      </c>
      <c r="X183" s="236">
        <f t="shared" si="16"/>
        <v>3710.8344759240963</v>
      </c>
      <c r="Y183" s="255">
        <f t="shared" si="17"/>
        <v>1.0716489009346775</v>
      </c>
    </row>
    <row r="184" spans="1:25" x14ac:dyDescent="0.25">
      <c r="A184" s="111">
        <f>Données!A184</f>
        <v>5711</v>
      </c>
      <c r="B184" s="119" t="str">
        <f>Données!B184</f>
        <v>Commugny</v>
      </c>
      <c r="C184" s="249">
        <f>Données!C184</f>
        <v>2968</v>
      </c>
      <c r="D184" s="250">
        <f>Données!D184</f>
        <v>57</v>
      </c>
      <c r="E184" s="251">
        <f>Données!E184</f>
        <v>1.3</v>
      </c>
      <c r="F184" s="252">
        <f>Données!F184</f>
        <v>14325497.300000001</v>
      </c>
      <c r="G184" s="252">
        <f>Données!G184</f>
        <v>3427968.97</v>
      </c>
      <c r="H184" s="252">
        <f>Données!H184</f>
        <v>151176.5</v>
      </c>
      <c r="I184" s="252">
        <f>Données!I184</f>
        <v>9251.9</v>
      </c>
      <c r="J184" s="252">
        <f>Données!J184</f>
        <v>232797.85</v>
      </c>
      <c r="K184" s="252">
        <f>Données!K184</f>
        <v>15149.91</v>
      </c>
      <c r="L184" s="252">
        <f>Données!L184</f>
        <v>-110940.82</v>
      </c>
      <c r="M184" s="252">
        <f>Données!M184</f>
        <v>0</v>
      </c>
      <c r="N184" s="252">
        <f>Données!N184</f>
        <v>14935.66</v>
      </c>
      <c r="O184" s="252">
        <f>Données!O184</f>
        <v>1365195.1</v>
      </c>
      <c r="P184" s="252">
        <f>Données!P184</f>
        <v>8049.34</v>
      </c>
      <c r="Q184" s="252">
        <f>Données!Q184</f>
        <v>13907.1</v>
      </c>
      <c r="R184" s="252">
        <f>Données!R184</f>
        <v>-51117.56</v>
      </c>
      <c r="S184" s="244"/>
      <c r="T184" s="236">
        <f t="shared" si="12"/>
        <v>21334700.352216229</v>
      </c>
      <c r="U184" s="253">
        <f t="shared" si="13"/>
        <v>1050150.076923077</v>
      </c>
      <c r="V184" s="253">
        <f t="shared" si="14"/>
        <v>-29161.119999999995</v>
      </c>
      <c r="W184" s="254">
        <f t="shared" si="15"/>
        <v>22355689.309139304</v>
      </c>
      <c r="X184" s="236">
        <f t="shared" si="16"/>
        <v>7532.2403332679596</v>
      </c>
      <c r="Y184" s="255">
        <f t="shared" si="17"/>
        <v>2.1752296220952663</v>
      </c>
    </row>
    <row r="185" spans="1:25" x14ac:dyDescent="0.25">
      <c r="A185" s="111">
        <f>Données!A185</f>
        <v>5712</v>
      </c>
      <c r="B185" s="119" t="str">
        <f>Données!B185</f>
        <v>Coppet</v>
      </c>
      <c r="C185" s="249">
        <f>Données!C185</f>
        <v>3233</v>
      </c>
      <c r="D185" s="250">
        <f>Données!D185</f>
        <v>57</v>
      </c>
      <c r="E185" s="251">
        <f>Données!E185</f>
        <v>1.5</v>
      </c>
      <c r="F185" s="252">
        <f>Données!F185</f>
        <v>15746939.5</v>
      </c>
      <c r="G185" s="252">
        <f>Données!G185</f>
        <v>7104808.2400000002</v>
      </c>
      <c r="H185" s="252">
        <f>Données!H185</f>
        <v>259664.55</v>
      </c>
      <c r="I185" s="252">
        <f>Données!I185</f>
        <v>95746.45</v>
      </c>
      <c r="J185" s="252">
        <f>Données!J185</f>
        <v>806524.93</v>
      </c>
      <c r="K185" s="252">
        <f>Données!K185</f>
        <v>14150.12</v>
      </c>
      <c r="L185" s="252">
        <f>Données!L185</f>
        <v>-49863.08</v>
      </c>
      <c r="M185" s="252">
        <f>Données!M185</f>
        <v>0</v>
      </c>
      <c r="N185" s="252">
        <f>Données!N185</f>
        <v>33088.269999999997</v>
      </c>
      <c r="O185" s="252">
        <f>Données!O185</f>
        <v>1998419.8</v>
      </c>
      <c r="P185" s="252">
        <f>Données!P185</f>
        <v>195335.46</v>
      </c>
      <c r="Q185" s="252">
        <f>Données!Q185</f>
        <v>49852.5</v>
      </c>
      <c r="R185" s="252">
        <f>Données!R185</f>
        <v>-112918.19</v>
      </c>
      <c r="S185" s="244"/>
      <c r="T185" s="236">
        <f t="shared" si="12"/>
        <v>28355660.511143908</v>
      </c>
      <c r="U185" s="253">
        <f t="shared" si="13"/>
        <v>1332279.8666666667</v>
      </c>
      <c r="V185" s="253">
        <f t="shared" si="14"/>
        <v>132269.76999999999</v>
      </c>
      <c r="W185" s="254">
        <f t="shared" si="15"/>
        <v>29820210.147810575</v>
      </c>
      <c r="X185" s="236">
        <f t="shared" si="16"/>
        <v>9223.6963030654424</v>
      </c>
      <c r="Y185" s="255">
        <f t="shared" si="17"/>
        <v>2.6637038299246183</v>
      </c>
    </row>
    <row r="186" spans="1:25" x14ac:dyDescent="0.25">
      <c r="A186" s="111">
        <f>Données!A186</f>
        <v>5713</v>
      </c>
      <c r="B186" s="119" t="str">
        <f>Données!B186</f>
        <v>Crans</v>
      </c>
      <c r="C186" s="249">
        <f>Données!C186</f>
        <v>2483</v>
      </c>
      <c r="D186" s="250">
        <f>Données!D186</f>
        <v>59</v>
      </c>
      <c r="E186" s="251">
        <f>Données!E186</f>
        <v>1</v>
      </c>
      <c r="F186" s="252">
        <f>Données!F186</f>
        <v>11067692.75</v>
      </c>
      <c r="G186" s="252">
        <f>Données!G186</f>
        <v>5006858.37</v>
      </c>
      <c r="H186" s="252">
        <f>Données!H186</f>
        <v>108709.15</v>
      </c>
      <c r="I186" s="252">
        <f>Données!I186</f>
        <v>37798.800000000003</v>
      </c>
      <c r="J186" s="252">
        <f>Données!J186</f>
        <v>398694.9</v>
      </c>
      <c r="K186" s="252">
        <f>Données!K186</f>
        <v>532.91</v>
      </c>
      <c r="L186" s="252">
        <f>Données!L186</f>
        <v>-58390.27</v>
      </c>
      <c r="M186" s="252">
        <f>Données!M186</f>
        <v>0</v>
      </c>
      <c r="N186" s="252">
        <f>Données!N186</f>
        <v>13639.68</v>
      </c>
      <c r="O186" s="252">
        <f>Données!O186</f>
        <v>986191.45</v>
      </c>
      <c r="P186" s="252">
        <f>Données!P186</f>
        <v>427132.32</v>
      </c>
      <c r="Q186" s="252">
        <f>Données!Q186</f>
        <v>62429.25</v>
      </c>
      <c r="R186" s="252">
        <f>Données!R186</f>
        <v>-76471.81</v>
      </c>
      <c r="S186" s="244"/>
      <c r="T186" s="236">
        <f t="shared" si="12"/>
        <v>18911191.228549574</v>
      </c>
      <c r="U186" s="253">
        <f t="shared" si="13"/>
        <v>986191.45</v>
      </c>
      <c r="V186" s="253">
        <f t="shared" si="14"/>
        <v>413089.76</v>
      </c>
      <c r="W186" s="254">
        <f t="shared" si="15"/>
        <v>20310472.438549574</v>
      </c>
      <c r="X186" s="236">
        <f t="shared" si="16"/>
        <v>8179.8116949454588</v>
      </c>
      <c r="Y186" s="255">
        <f t="shared" si="17"/>
        <v>2.3622412343137413</v>
      </c>
    </row>
    <row r="187" spans="1:25" x14ac:dyDescent="0.25">
      <c r="A187" s="111">
        <f>Données!A187</f>
        <v>5714</v>
      </c>
      <c r="B187" s="119" t="str">
        <f>Données!B187</f>
        <v>Crassier</v>
      </c>
      <c r="C187" s="249">
        <f>Données!C187</f>
        <v>1272</v>
      </c>
      <c r="D187" s="250">
        <f>Données!D187</f>
        <v>65</v>
      </c>
      <c r="E187" s="251">
        <f>Données!E187</f>
        <v>1</v>
      </c>
      <c r="F187" s="252">
        <f>Données!F187</f>
        <v>3359200.33</v>
      </c>
      <c r="G187" s="252">
        <f>Données!G187</f>
        <v>498588.64</v>
      </c>
      <c r="H187" s="252">
        <f>Données!H187</f>
        <v>80653.149999999994</v>
      </c>
      <c r="I187" s="252">
        <f>Données!I187</f>
        <v>6147</v>
      </c>
      <c r="J187" s="252">
        <f>Données!J187</f>
        <v>120918.15</v>
      </c>
      <c r="K187" s="252">
        <f>Données!K187</f>
        <v>0</v>
      </c>
      <c r="L187" s="252">
        <f>Données!L187</f>
        <v>-4684.34</v>
      </c>
      <c r="M187" s="252">
        <f>Données!M187</f>
        <v>0</v>
      </c>
      <c r="N187" s="252">
        <f>Données!N187</f>
        <v>8080.97</v>
      </c>
      <c r="O187" s="252">
        <f>Données!O187</f>
        <v>325823.59999999998</v>
      </c>
      <c r="P187" s="252">
        <f>Données!P187</f>
        <v>6459.08</v>
      </c>
      <c r="Q187" s="252">
        <f>Données!Q187</f>
        <v>8048.3</v>
      </c>
      <c r="R187" s="252">
        <f>Données!R187</f>
        <v>-6101.95</v>
      </c>
      <c r="S187" s="244"/>
      <c r="T187" s="236">
        <f t="shared" si="12"/>
        <v>4213736.6087514507</v>
      </c>
      <c r="U187" s="253">
        <f t="shared" si="13"/>
        <v>325823.59999999998</v>
      </c>
      <c r="V187" s="253">
        <f t="shared" si="14"/>
        <v>8405.43</v>
      </c>
      <c r="W187" s="254">
        <f t="shared" si="15"/>
        <v>4547965.63875145</v>
      </c>
      <c r="X187" s="236">
        <f t="shared" si="16"/>
        <v>3575.4446845530269</v>
      </c>
      <c r="Y187" s="255">
        <f t="shared" si="17"/>
        <v>1.0325497920787239</v>
      </c>
    </row>
    <row r="188" spans="1:25" x14ac:dyDescent="0.25">
      <c r="A188" s="111">
        <f>Données!A188</f>
        <v>5715</v>
      </c>
      <c r="B188" s="119" t="str">
        <f>Données!B188</f>
        <v>Duillier</v>
      </c>
      <c r="C188" s="249">
        <f>Données!C188</f>
        <v>1120</v>
      </c>
      <c r="D188" s="250">
        <f>Données!D188</f>
        <v>66</v>
      </c>
      <c r="E188" s="251">
        <f>Données!E188</f>
        <v>1</v>
      </c>
      <c r="F188" s="252">
        <f>Données!F188</f>
        <v>4323709.66</v>
      </c>
      <c r="G188" s="252">
        <f>Données!G188</f>
        <v>633384.23</v>
      </c>
      <c r="H188" s="252">
        <f>Données!H188</f>
        <v>74493</v>
      </c>
      <c r="I188" s="252">
        <f>Données!I188</f>
        <v>17233.150000000001</v>
      </c>
      <c r="J188" s="252">
        <f>Données!J188</f>
        <v>0</v>
      </c>
      <c r="K188" s="252">
        <f>Données!K188</f>
        <v>6725.25</v>
      </c>
      <c r="L188" s="252">
        <f>Données!L188</f>
        <v>-2830.59</v>
      </c>
      <c r="M188" s="252">
        <f>Données!M188</f>
        <v>0</v>
      </c>
      <c r="N188" s="252">
        <f>Données!N188</f>
        <v>8539.58</v>
      </c>
      <c r="O188" s="252">
        <f>Données!O188</f>
        <v>310426.59999999998</v>
      </c>
      <c r="P188" s="252">
        <f>Données!P188</f>
        <v>12152.28</v>
      </c>
      <c r="Q188" s="252">
        <f>Données!Q188</f>
        <v>8374</v>
      </c>
      <c r="R188" s="252">
        <f>Données!R188</f>
        <v>-4249.5</v>
      </c>
      <c r="S188" s="244"/>
      <c r="T188" s="236">
        <f t="shared" si="12"/>
        <v>5161994.4199123662</v>
      </c>
      <c r="U188" s="253">
        <f t="shared" si="13"/>
        <v>310426.59999999998</v>
      </c>
      <c r="V188" s="253">
        <f t="shared" si="14"/>
        <v>16276.779999999999</v>
      </c>
      <c r="W188" s="254">
        <f t="shared" si="15"/>
        <v>5488697.7999123661</v>
      </c>
      <c r="X188" s="236">
        <f t="shared" si="16"/>
        <v>4900.6230356360411</v>
      </c>
      <c r="Y188" s="255">
        <f t="shared" si="17"/>
        <v>1.4152469812673878</v>
      </c>
    </row>
    <row r="189" spans="1:25" x14ac:dyDescent="0.25">
      <c r="A189" s="111">
        <f>Données!A189</f>
        <v>5716</v>
      </c>
      <c r="B189" s="119" t="str">
        <f>Données!B189</f>
        <v>Eysins</v>
      </c>
      <c r="C189" s="249">
        <f>Données!C189</f>
        <v>1811</v>
      </c>
      <c r="D189" s="250">
        <f>Données!D189</f>
        <v>59.5</v>
      </c>
      <c r="E189" s="251">
        <f>Données!E189</f>
        <v>1</v>
      </c>
      <c r="F189" s="252">
        <f>Données!F189</f>
        <v>5396434.1500000004</v>
      </c>
      <c r="G189" s="252">
        <f>Données!G189</f>
        <v>1519608.33</v>
      </c>
      <c r="H189" s="252">
        <f>Données!H189</f>
        <v>18515705.050000001</v>
      </c>
      <c r="I189" s="252">
        <f>Données!I189</f>
        <v>872360.05</v>
      </c>
      <c r="J189" s="252">
        <f>Données!J189</f>
        <v>0</v>
      </c>
      <c r="K189" s="252">
        <f>Données!K189</f>
        <v>13078.13</v>
      </c>
      <c r="L189" s="252">
        <f>Données!L189</f>
        <v>-20286.23</v>
      </c>
      <c r="M189" s="252">
        <f>Données!M189</f>
        <v>0</v>
      </c>
      <c r="N189" s="252">
        <f>Données!N189</f>
        <v>1801658.31</v>
      </c>
      <c r="O189" s="252">
        <f>Données!O189</f>
        <v>722205.25</v>
      </c>
      <c r="P189" s="252">
        <f>Données!P189</f>
        <v>274168.94</v>
      </c>
      <c r="Q189" s="252">
        <f>Données!Q189</f>
        <v>92523.5</v>
      </c>
      <c r="R189" s="252">
        <f>Données!R189</f>
        <v>-39592.75</v>
      </c>
      <c r="S189" s="244"/>
      <c r="T189" s="236">
        <f t="shared" si="12"/>
        <v>31788524.713521861</v>
      </c>
      <c r="U189" s="253">
        <f t="shared" si="13"/>
        <v>722205.25</v>
      </c>
      <c r="V189" s="253">
        <f t="shared" si="14"/>
        <v>327099.69</v>
      </c>
      <c r="W189" s="254">
        <f t="shared" si="15"/>
        <v>32837829.653521862</v>
      </c>
      <c r="X189" s="236">
        <f t="shared" si="16"/>
        <v>18132.4294055891</v>
      </c>
      <c r="Y189" s="255">
        <f t="shared" si="17"/>
        <v>5.2364496907225169</v>
      </c>
    </row>
    <row r="190" spans="1:25" x14ac:dyDescent="0.25">
      <c r="A190" s="111">
        <f>Données!A190</f>
        <v>5717</v>
      </c>
      <c r="B190" s="119" t="str">
        <f>Données!B190</f>
        <v>Founex</v>
      </c>
      <c r="C190" s="249">
        <f>Données!C190</f>
        <v>3737</v>
      </c>
      <c r="D190" s="250">
        <f>Données!D190</f>
        <v>57</v>
      </c>
      <c r="E190" s="251">
        <f>Données!E190</f>
        <v>1</v>
      </c>
      <c r="F190" s="252">
        <f>Données!F190</f>
        <v>16346021.23</v>
      </c>
      <c r="G190" s="252">
        <f>Données!G190</f>
        <v>4488425.53</v>
      </c>
      <c r="H190" s="252">
        <f>Données!H190</f>
        <v>140831.4</v>
      </c>
      <c r="I190" s="252">
        <f>Données!I190</f>
        <v>43909.65</v>
      </c>
      <c r="J190" s="252">
        <f>Données!J190</f>
        <v>1306360.96</v>
      </c>
      <c r="K190" s="252">
        <f>Données!K190</f>
        <v>26156.87</v>
      </c>
      <c r="L190" s="252">
        <f>Données!L190</f>
        <v>-56575.43</v>
      </c>
      <c r="M190" s="252">
        <f>Données!M190</f>
        <v>0</v>
      </c>
      <c r="N190" s="252">
        <f>Données!N190</f>
        <v>17199.13</v>
      </c>
      <c r="O190" s="252">
        <f>Données!O190</f>
        <v>1545554.55</v>
      </c>
      <c r="P190" s="252">
        <f>Données!P190</f>
        <v>188862.99</v>
      </c>
      <c r="Q190" s="252">
        <f>Données!Q190</f>
        <v>103661.5</v>
      </c>
      <c r="R190" s="252">
        <f>Données!R190</f>
        <v>-148410.76</v>
      </c>
      <c r="S190" s="244"/>
      <c r="T190" s="236">
        <f t="shared" si="12"/>
        <v>26349559.863430705</v>
      </c>
      <c r="U190" s="253">
        <f t="shared" si="13"/>
        <v>1545554.55</v>
      </c>
      <c r="V190" s="253">
        <f t="shared" si="14"/>
        <v>144113.72999999998</v>
      </c>
      <c r="W190" s="254">
        <f t="shared" si="15"/>
        <v>28039228.143430706</v>
      </c>
      <c r="X190" s="236">
        <f t="shared" si="16"/>
        <v>7503.1383846483022</v>
      </c>
      <c r="Y190" s="255">
        <f t="shared" si="17"/>
        <v>2.1668252937816068</v>
      </c>
    </row>
    <row r="191" spans="1:25" x14ac:dyDescent="0.25">
      <c r="A191" s="111">
        <f>Données!A191</f>
        <v>5718</v>
      </c>
      <c r="B191" s="119" t="str">
        <f>Données!B191</f>
        <v>Genolier</v>
      </c>
      <c r="C191" s="249">
        <f>Données!C191</f>
        <v>2071</v>
      </c>
      <c r="D191" s="250">
        <f>Données!D191</f>
        <v>52</v>
      </c>
      <c r="E191" s="251">
        <f>Données!E191</f>
        <v>1</v>
      </c>
      <c r="F191" s="252">
        <f>Données!F191</f>
        <v>7700594.3499999996</v>
      </c>
      <c r="G191" s="252">
        <f>Données!G191</f>
        <v>2034240.9</v>
      </c>
      <c r="H191" s="252">
        <f>Données!H191</f>
        <v>195703.75</v>
      </c>
      <c r="I191" s="252">
        <f>Données!I191</f>
        <v>50600.95</v>
      </c>
      <c r="J191" s="252">
        <f>Données!J191</f>
        <v>653939.36</v>
      </c>
      <c r="K191" s="252">
        <f>Données!K191</f>
        <v>8603.9699999999993</v>
      </c>
      <c r="L191" s="252">
        <f>Données!L191</f>
        <v>-15699.13</v>
      </c>
      <c r="M191" s="252">
        <f>Données!M191</f>
        <v>0</v>
      </c>
      <c r="N191" s="252">
        <f>Données!N191</f>
        <v>22930.62</v>
      </c>
      <c r="O191" s="252">
        <f>Données!O191</f>
        <v>764831.05</v>
      </c>
      <c r="P191" s="252">
        <f>Données!P191</f>
        <v>141728.22</v>
      </c>
      <c r="Q191" s="252">
        <f>Données!Q191</f>
        <v>49101.2</v>
      </c>
      <c r="R191" s="252">
        <f>Données!R191</f>
        <v>-27376.47</v>
      </c>
      <c r="S191" s="244"/>
      <c r="T191" s="236">
        <f t="shared" si="12"/>
        <v>13787542.845089227</v>
      </c>
      <c r="U191" s="253">
        <f t="shared" si="13"/>
        <v>764831.05</v>
      </c>
      <c r="V191" s="253">
        <f t="shared" si="14"/>
        <v>163452.94999999998</v>
      </c>
      <c r="W191" s="254">
        <f t="shared" si="15"/>
        <v>14715826.845089227</v>
      </c>
      <c r="X191" s="236">
        <f t="shared" si="16"/>
        <v>7105.6624070928183</v>
      </c>
      <c r="Y191" s="255">
        <f t="shared" si="17"/>
        <v>2.0520385262071255</v>
      </c>
    </row>
    <row r="192" spans="1:25" x14ac:dyDescent="0.25">
      <c r="A192" s="111">
        <f>Données!A192</f>
        <v>5719</v>
      </c>
      <c r="B192" s="119" t="str">
        <f>Données!B192</f>
        <v>Gingins</v>
      </c>
      <c r="C192" s="249">
        <f>Données!C192</f>
        <v>1241</v>
      </c>
      <c r="D192" s="250">
        <f>Données!D192</f>
        <v>60</v>
      </c>
      <c r="E192" s="251">
        <f>Données!E192</f>
        <v>0.6</v>
      </c>
      <c r="F192" s="252">
        <f>Données!F192</f>
        <v>5796993.9199999999</v>
      </c>
      <c r="G192" s="252">
        <f>Données!G192</f>
        <v>3182306.7</v>
      </c>
      <c r="H192" s="252">
        <f>Données!H192</f>
        <v>100247.45</v>
      </c>
      <c r="I192" s="252">
        <f>Données!I192</f>
        <v>6665.05</v>
      </c>
      <c r="J192" s="252">
        <f>Données!J192</f>
        <v>254974.4</v>
      </c>
      <c r="K192" s="252">
        <f>Données!K192</f>
        <v>28082.86</v>
      </c>
      <c r="L192" s="252">
        <f>Données!L192</f>
        <v>-28103.95</v>
      </c>
      <c r="M192" s="252">
        <f>Données!M192</f>
        <v>0</v>
      </c>
      <c r="N192" s="252">
        <f>Données!N192</f>
        <v>10512</v>
      </c>
      <c r="O192" s="252">
        <f>Données!O192</f>
        <v>280066.5</v>
      </c>
      <c r="P192" s="252">
        <f>Données!P192</f>
        <v>36214.769999999997</v>
      </c>
      <c r="Q192" s="252">
        <f>Données!Q192</f>
        <v>12092.45</v>
      </c>
      <c r="R192" s="252">
        <f>Données!R192</f>
        <v>-9626.15</v>
      </c>
      <c r="S192" s="244"/>
      <c r="T192" s="236">
        <f t="shared" si="12"/>
        <v>10491597.561014524</v>
      </c>
      <c r="U192" s="253">
        <f t="shared" si="13"/>
        <v>466777.5</v>
      </c>
      <c r="V192" s="253">
        <f t="shared" si="14"/>
        <v>38681.07</v>
      </c>
      <c r="W192" s="254">
        <f t="shared" si="15"/>
        <v>10997056.131014524</v>
      </c>
      <c r="X192" s="236">
        <f t="shared" si="16"/>
        <v>8861.4473255556204</v>
      </c>
      <c r="Y192" s="255">
        <f t="shared" si="17"/>
        <v>2.5590902393342057</v>
      </c>
    </row>
    <row r="193" spans="1:25" x14ac:dyDescent="0.25">
      <c r="A193" s="111">
        <f>Données!A193</f>
        <v>5720</v>
      </c>
      <c r="B193" s="119" t="str">
        <f>Données!B193</f>
        <v>Givrins</v>
      </c>
      <c r="C193" s="249">
        <f>Données!C193</f>
        <v>1096</v>
      </c>
      <c r="D193" s="250">
        <f>Données!D193</f>
        <v>67</v>
      </c>
      <c r="E193" s="251">
        <f>Données!E193</f>
        <v>0.9</v>
      </c>
      <c r="F193" s="252">
        <f>Données!F193</f>
        <v>3386697.01</v>
      </c>
      <c r="G193" s="252">
        <f>Données!G193</f>
        <v>840489.72</v>
      </c>
      <c r="H193" s="252">
        <f>Données!H193</f>
        <v>22910.400000000001</v>
      </c>
      <c r="I193" s="252">
        <f>Données!I193</f>
        <v>8511.65</v>
      </c>
      <c r="J193" s="252">
        <f>Données!J193</f>
        <v>577564.55000000005</v>
      </c>
      <c r="K193" s="252">
        <f>Données!K193</f>
        <v>0</v>
      </c>
      <c r="L193" s="252">
        <f>Données!L193</f>
        <v>-84020.7</v>
      </c>
      <c r="M193" s="252">
        <f>Données!M193</f>
        <v>0</v>
      </c>
      <c r="N193" s="252">
        <f>Données!N193</f>
        <v>2925.35</v>
      </c>
      <c r="O193" s="252">
        <f>Données!O193</f>
        <v>312469.25</v>
      </c>
      <c r="P193" s="252">
        <f>Données!P193</f>
        <v>28811.9</v>
      </c>
      <c r="Q193" s="252">
        <f>Données!Q193</f>
        <v>0</v>
      </c>
      <c r="R193" s="252">
        <f>Données!R193</f>
        <v>-15096.99</v>
      </c>
      <c r="S193" s="244"/>
      <c r="T193" s="236">
        <f t="shared" si="12"/>
        <v>4777339.9910337841</v>
      </c>
      <c r="U193" s="253">
        <f t="shared" si="13"/>
        <v>347188.05555555556</v>
      </c>
      <c r="V193" s="253">
        <f t="shared" si="14"/>
        <v>13714.910000000002</v>
      </c>
      <c r="W193" s="254">
        <f t="shared" si="15"/>
        <v>5138242.9565893402</v>
      </c>
      <c r="X193" s="236">
        <f t="shared" si="16"/>
        <v>4688.1778800997627</v>
      </c>
      <c r="Y193" s="255">
        <f t="shared" si="17"/>
        <v>1.3538951158267569</v>
      </c>
    </row>
    <row r="194" spans="1:25" x14ac:dyDescent="0.25">
      <c r="A194" s="111">
        <f>Données!A194</f>
        <v>5721</v>
      </c>
      <c r="B194" s="119" t="str">
        <f>Données!B194</f>
        <v>Gland</v>
      </c>
      <c r="C194" s="249">
        <f>Données!C194</f>
        <v>13978</v>
      </c>
      <c r="D194" s="250">
        <f>Données!D194</f>
        <v>61</v>
      </c>
      <c r="E194" s="251">
        <f>Données!E194</f>
        <v>1</v>
      </c>
      <c r="F194" s="252">
        <f>Données!F194</f>
        <v>28090065.57</v>
      </c>
      <c r="G194" s="252">
        <f>Données!G194</f>
        <v>6135934.9500000002</v>
      </c>
      <c r="H194" s="252">
        <f>Données!H194</f>
        <v>9120939.9000000004</v>
      </c>
      <c r="I194" s="252">
        <f>Données!I194</f>
        <v>287332.3</v>
      </c>
      <c r="J194" s="252">
        <f>Données!J194</f>
        <v>663346.35</v>
      </c>
      <c r="K194" s="252">
        <f>Données!K194</f>
        <v>61132.1</v>
      </c>
      <c r="L194" s="252">
        <f>Données!L194</f>
        <v>-442855.96</v>
      </c>
      <c r="M194" s="252">
        <f>Données!M194</f>
        <v>0</v>
      </c>
      <c r="N194" s="252">
        <f>Données!N194</f>
        <v>875896.93</v>
      </c>
      <c r="O194" s="252">
        <f>Données!O194</f>
        <v>3337420.6</v>
      </c>
      <c r="P194" s="252">
        <f>Données!P194</f>
        <v>1079986.1399999999</v>
      </c>
      <c r="Q194" s="252">
        <f>Données!Q194</f>
        <v>628530.80000000005</v>
      </c>
      <c r="R194" s="252">
        <f>Données!R194</f>
        <v>-39583.11</v>
      </c>
      <c r="S194" s="244"/>
      <c r="T194" s="236">
        <f t="shared" si="12"/>
        <v>49427872.00062117</v>
      </c>
      <c r="U194" s="253">
        <f t="shared" si="13"/>
        <v>3337420.6</v>
      </c>
      <c r="V194" s="253">
        <f t="shared" si="14"/>
        <v>1668933.8299999998</v>
      </c>
      <c r="W194" s="254">
        <f t="shared" si="15"/>
        <v>54434226.43062117</v>
      </c>
      <c r="X194" s="236">
        <f t="shared" si="16"/>
        <v>3894.278611433765</v>
      </c>
      <c r="Y194" s="255">
        <f t="shared" si="17"/>
        <v>1.1246255851487834</v>
      </c>
    </row>
    <row r="195" spans="1:25" x14ac:dyDescent="0.25">
      <c r="A195" s="111">
        <f>Données!A195</f>
        <v>5722</v>
      </c>
      <c r="B195" s="119" t="str">
        <f>Données!B195</f>
        <v>Grens</v>
      </c>
      <c r="C195" s="249">
        <f>Données!C195</f>
        <v>413</v>
      </c>
      <c r="D195" s="250">
        <f>Données!D195</f>
        <v>62</v>
      </c>
      <c r="E195" s="251">
        <f>Données!E195</f>
        <v>1</v>
      </c>
      <c r="F195" s="252">
        <f>Données!F195</f>
        <v>1190573.51</v>
      </c>
      <c r="G195" s="252">
        <f>Données!G195</f>
        <v>190837.9</v>
      </c>
      <c r="H195" s="252">
        <f>Données!H195</f>
        <v>19692.599999999999</v>
      </c>
      <c r="I195" s="252">
        <f>Données!I195</f>
        <v>9536.4</v>
      </c>
      <c r="J195" s="252">
        <f>Données!J195</f>
        <v>0</v>
      </c>
      <c r="K195" s="252">
        <f>Données!K195</f>
        <v>0</v>
      </c>
      <c r="L195" s="252">
        <f>Données!L195</f>
        <v>-11303.05</v>
      </c>
      <c r="M195" s="252">
        <f>Données!M195</f>
        <v>0</v>
      </c>
      <c r="N195" s="252">
        <f>Données!N195</f>
        <v>2721.18</v>
      </c>
      <c r="O195" s="252">
        <f>Données!O195</f>
        <v>153419.85</v>
      </c>
      <c r="P195" s="252">
        <f>Données!P195</f>
        <v>42170.11</v>
      </c>
      <c r="Q195" s="252">
        <f>Données!Q195</f>
        <v>21416.35</v>
      </c>
      <c r="R195" s="252">
        <f>Données!R195</f>
        <v>-2232.1</v>
      </c>
      <c r="S195" s="244"/>
      <c r="T195" s="236">
        <f t="shared" si="12"/>
        <v>1522221.2025743772</v>
      </c>
      <c r="U195" s="253">
        <f t="shared" si="13"/>
        <v>153419.85</v>
      </c>
      <c r="V195" s="253">
        <f t="shared" si="14"/>
        <v>61354.36</v>
      </c>
      <c r="W195" s="254">
        <f t="shared" si="15"/>
        <v>1736995.4125743774</v>
      </c>
      <c r="X195" s="236">
        <f t="shared" si="16"/>
        <v>4205.800030446434</v>
      </c>
      <c r="Y195" s="255">
        <f t="shared" si="17"/>
        <v>1.2145896049584795</v>
      </c>
    </row>
    <row r="196" spans="1:25" x14ac:dyDescent="0.25">
      <c r="A196" s="111">
        <f>Données!A196</f>
        <v>5723</v>
      </c>
      <c r="B196" s="119" t="str">
        <f>Données!B196</f>
        <v>Mies</v>
      </c>
      <c r="C196" s="249">
        <f>Données!C196</f>
        <v>2194</v>
      </c>
      <c r="D196" s="250">
        <f>Données!D196</f>
        <v>54</v>
      </c>
      <c r="E196" s="251">
        <f>Données!E196</f>
        <v>1</v>
      </c>
      <c r="F196" s="252">
        <f>Données!F196</f>
        <v>11031536.029999999</v>
      </c>
      <c r="G196" s="252">
        <f>Données!G196</f>
        <v>3324807.93</v>
      </c>
      <c r="H196" s="252">
        <f>Données!H196</f>
        <v>170497.7</v>
      </c>
      <c r="I196" s="252">
        <f>Données!I196</f>
        <v>11233.45</v>
      </c>
      <c r="J196" s="252">
        <f>Données!J196</f>
        <v>731840.15</v>
      </c>
      <c r="K196" s="252">
        <f>Données!K196</f>
        <v>1915.57</v>
      </c>
      <c r="L196" s="252">
        <f>Données!L196</f>
        <v>-33895.67</v>
      </c>
      <c r="M196" s="252">
        <f>Données!M196</f>
        <v>0</v>
      </c>
      <c r="N196" s="252">
        <f>Données!N196</f>
        <v>16918.91</v>
      </c>
      <c r="O196" s="252">
        <f>Données!O196</f>
        <v>1069061.75</v>
      </c>
      <c r="P196" s="252">
        <f>Données!P196</f>
        <v>23088.639999999999</v>
      </c>
      <c r="Q196" s="252">
        <f>Données!Q196</f>
        <v>88725.85</v>
      </c>
      <c r="R196" s="252">
        <f>Données!R196</f>
        <v>-85553.29</v>
      </c>
      <c r="S196" s="244"/>
      <c r="T196" s="236">
        <f t="shared" si="12"/>
        <v>19015931.614421248</v>
      </c>
      <c r="U196" s="253">
        <f t="shared" si="13"/>
        <v>1069061.75</v>
      </c>
      <c r="V196" s="253">
        <f t="shared" si="14"/>
        <v>26261.200000000012</v>
      </c>
      <c r="W196" s="254">
        <f t="shared" si="15"/>
        <v>20111254.564421248</v>
      </c>
      <c r="X196" s="236">
        <f t="shared" si="16"/>
        <v>9166.4788351965581</v>
      </c>
      <c r="Y196" s="255">
        <f t="shared" si="17"/>
        <v>2.6471800434410713</v>
      </c>
    </row>
    <row r="197" spans="1:25" x14ac:dyDescent="0.25">
      <c r="A197" s="111">
        <f>Données!A197</f>
        <v>5724</v>
      </c>
      <c r="B197" s="119" t="str">
        <f>Données!B197</f>
        <v>Nyon</v>
      </c>
      <c r="C197" s="249">
        <f>Données!C197</f>
        <v>23732</v>
      </c>
      <c r="D197" s="250">
        <f>Données!D197</f>
        <v>61</v>
      </c>
      <c r="E197" s="251">
        <f>Données!E197</f>
        <v>1.5</v>
      </c>
      <c r="F197" s="252">
        <f>Données!F197</f>
        <v>72632101.920000002</v>
      </c>
      <c r="G197" s="252">
        <f>Données!G197</f>
        <v>13490241.460000001</v>
      </c>
      <c r="H197" s="252">
        <f>Données!H197</f>
        <v>9605214.5500000007</v>
      </c>
      <c r="I197" s="252">
        <f>Données!I197</f>
        <v>1411595.55</v>
      </c>
      <c r="J197" s="252">
        <f>Données!J197</f>
        <v>788073.33</v>
      </c>
      <c r="K197" s="252">
        <f>Données!K197</f>
        <v>162488.49</v>
      </c>
      <c r="L197" s="252">
        <f>Données!L197</f>
        <v>-773222.1</v>
      </c>
      <c r="M197" s="252">
        <f>Données!M197</f>
        <v>0</v>
      </c>
      <c r="N197" s="252">
        <f>Données!N197</f>
        <v>1025677.48</v>
      </c>
      <c r="O197" s="252">
        <f>Données!O197</f>
        <v>9483325.9499999993</v>
      </c>
      <c r="P197" s="252">
        <f>Données!P197</f>
        <v>3280465.57</v>
      </c>
      <c r="Q197" s="252">
        <f>Données!Q197</f>
        <v>555043.44999999995</v>
      </c>
      <c r="R197" s="252">
        <f>Données!R197</f>
        <v>-377616.34</v>
      </c>
      <c r="S197" s="244"/>
      <c r="T197" s="236">
        <f t="shared" si="12"/>
        <v>108520869.39145811</v>
      </c>
      <c r="U197" s="253">
        <f t="shared" si="13"/>
        <v>6322217.2999999998</v>
      </c>
      <c r="V197" s="253">
        <f t="shared" si="14"/>
        <v>3457892.6799999997</v>
      </c>
      <c r="W197" s="254">
        <f t="shared" si="15"/>
        <v>118300979.37145811</v>
      </c>
      <c r="X197" s="236">
        <f t="shared" si="16"/>
        <v>4984.8718764308996</v>
      </c>
      <c r="Y197" s="255">
        <f t="shared" si="17"/>
        <v>1.4395771361769105</v>
      </c>
    </row>
    <row r="198" spans="1:25" x14ac:dyDescent="0.25">
      <c r="A198" s="111">
        <f>Données!A198</f>
        <v>5725</v>
      </c>
      <c r="B198" s="119" t="str">
        <f>Données!B198</f>
        <v>Prangins</v>
      </c>
      <c r="C198" s="249">
        <f>Données!C198</f>
        <v>4243</v>
      </c>
      <c r="D198" s="250">
        <f>Données!D198</f>
        <v>55</v>
      </c>
      <c r="E198" s="251">
        <f>Données!E198</f>
        <v>1.4</v>
      </c>
      <c r="F198" s="252">
        <f>Données!F198</f>
        <v>11900614.91</v>
      </c>
      <c r="G198" s="252">
        <f>Données!G198</f>
        <v>4621115.8</v>
      </c>
      <c r="H198" s="252">
        <f>Données!H198</f>
        <v>1417806.15</v>
      </c>
      <c r="I198" s="252">
        <f>Données!I198</f>
        <v>290602.84999999998</v>
      </c>
      <c r="J198" s="252">
        <f>Données!J198</f>
        <v>292899.09999999998</v>
      </c>
      <c r="K198" s="252">
        <f>Données!K198</f>
        <v>7179.08</v>
      </c>
      <c r="L198" s="252">
        <f>Données!L198</f>
        <v>-56436</v>
      </c>
      <c r="M198" s="252">
        <f>Données!M198</f>
        <v>0</v>
      </c>
      <c r="N198" s="252">
        <f>Données!N198</f>
        <v>159050.48000000001</v>
      </c>
      <c r="O198" s="252">
        <f>Données!O198</f>
        <v>1820475.35</v>
      </c>
      <c r="P198" s="252">
        <f>Données!P198</f>
        <v>336021.37</v>
      </c>
      <c r="Q198" s="252">
        <f>Données!Q198</f>
        <v>21658.5</v>
      </c>
      <c r="R198" s="252">
        <f>Données!R198</f>
        <v>-46164.15</v>
      </c>
      <c r="S198" s="244"/>
      <c r="T198" s="236">
        <f t="shared" si="12"/>
        <v>22804444.447972488</v>
      </c>
      <c r="U198" s="253">
        <f t="shared" si="13"/>
        <v>1300339.5357142859</v>
      </c>
      <c r="V198" s="253">
        <f t="shared" si="14"/>
        <v>311515.71999999997</v>
      </c>
      <c r="W198" s="254">
        <f t="shared" si="15"/>
        <v>24416299.703686774</v>
      </c>
      <c r="X198" s="236">
        <f t="shared" si="16"/>
        <v>5754.4896779841556</v>
      </c>
      <c r="Y198" s="255">
        <f t="shared" si="17"/>
        <v>1.6618344415149295</v>
      </c>
    </row>
    <row r="199" spans="1:25" x14ac:dyDescent="0.25">
      <c r="A199" s="111">
        <f>Données!A199</f>
        <v>5726</v>
      </c>
      <c r="B199" s="119" t="str">
        <f>Données!B199</f>
        <v>La Rippe</v>
      </c>
      <c r="C199" s="249">
        <f>Données!C199</f>
        <v>1218</v>
      </c>
      <c r="D199" s="250">
        <f>Données!D199</f>
        <v>63.5</v>
      </c>
      <c r="E199" s="251">
        <f>Données!E199</f>
        <v>1</v>
      </c>
      <c r="F199" s="252">
        <f>Données!F199</f>
        <v>3743288.95</v>
      </c>
      <c r="G199" s="252">
        <f>Données!G199</f>
        <v>783038.25</v>
      </c>
      <c r="H199" s="252">
        <f>Données!H199</f>
        <v>14341.65</v>
      </c>
      <c r="I199" s="252">
        <f>Données!I199</f>
        <v>4946.3</v>
      </c>
      <c r="J199" s="252">
        <f>Données!J199</f>
        <v>0</v>
      </c>
      <c r="K199" s="252">
        <f>Données!K199</f>
        <v>14279.69</v>
      </c>
      <c r="L199" s="252">
        <f>Données!L199</f>
        <v>-23892.43</v>
      </c>
      <c r="M199" s="252">
        <f>Données!M199</f>
        <v>0</v>
      </c>
      <c r="N199" s="252">
        <f>Données!N199</f>
        <v>1795.68</v>
      </c>
      <c r="O199" s="252">
        <f>Données!O199</f>
        <v>301019.84999999998</v>
      </c>
      <c r="P199" s="252">
        <f>Données!P199</f>
        <v>27568.06</v>
      </c>
      <c r="Q199" s="252">
        <f>Données!Q199</f>
        <v>5293.95</v>
      </c>
      <c r="R199" s="252">
        <f>Données!R199</f>
        <v>-14702.91</v>
      </c>
      <c r="S199" s="244"/>
      <c r="T199" s="236">
        <f t="shared" si="12"/>
        <v>4810328.6809672052</v>
      </c>
      <c r="U199" s="253">
        <f t="shared" si="13"/>
        <v>301019.84999999998</v>
      </c>
      <c r="V199" s="253">
        <f t="shared" si="14"/>
        <v>18159.100000000002</v>
      </c>
      <c r="W199" s="254">
        <f t="shared" si="15"/>
        <v>5129507.6309672045</v>
      </c>
      <c r="X199" s="236">
        <f t="shared" si="16"/>
        <v>4211.4184162292322</v>
      </c>
      <c r="Y199" s="255">
        <f t="shared" si="17"/>
        <v>1.2162121340656726</v>
      </c>
    </row>
    <row r="200" spans="1:25" x14ac:dyDescent="0.25">
      <c r="A200" s="111">
        <f>Données!A200</f>
        <v>5727</v>
      </c>
      <c r="B200" s="119" t="str">
        <f>Données!B200</f>
        <v>Saint-Cergue</v>
      </c>
      <c r="C200" s="249">
        <f>Données!C200</f>
        <v>3057</v>
      </c>
      <c r="D200" s="250">
        <f>Données!D200</f>
        <v>66</v>
      </c>
      <c r="E200" s="251">
        <f>Données!E200</f>
        <v>1.5</v>
      </c>
      <c r="F200" s="252">
        <f>Données!F200</f>
        <v>5190413.57</v>
      </c>
      <c r="G200" s="252">
        <f>Données!G200</f>
        <v>638585.48</v>
      </c>
      <c r="H200" s="252">
        <f>Données!H200</f>
        <v>72750.850000000006</v>
      </c>
      <c r="I200" s="252">
        <f>Données!I200</f>
        <v>-6546.6</v>
      </c>
      <c r="J200" s="252">
        <f>Données!J200</f>
        <v>93713.9</v>
      </c>
      <c r="K200" s="252">
        <f>Données!K200</f>
        <v>31740.1</v>
      </c>
      <c r="L200" s="252">
        <f>Données!L200</f>
        <v>-248337.43</v>
      </c>
      <c r="M200" s="252">
        <f>Données!M200</f>
        <v>0</v>
      </c>
      <c r="N200" s="252">
        <f>Données!N200</f>
        <v>6163.52</v>
      </c>
      <c r="O200" s="252">
        <f>Données!O200</f>
        <v>925043.65</v>
      </c>
      <c r="P200" s="252">
        <f>Données!P200</f>
        <v>153777.75</v>
      </c>
      <c r="Q200" s="252">
        <f>Données!Q200</f>
        <v>13073</v>
      </c>
      <c r="R200" s="252">
        <f>Données!R200</f>
        <v>-12017.64</v>
      </c>
      <c r="S200" s="244"/>
      <c r="T200" s="236">
        <f t="shared" ref="T200:T263" si="18">(SUM(F200:N200)/D200*$T$4)</f>
        <v>5893499.3905772083</v>
      </c>
      <c r="U200" s="253">
        <f t="shared" ref="U200:U263" si="19">O200/E200*$U$4</f>
        <v>616695.76666666672</v>
      </c>
      <c r="V200" s="253">
        <f t="shared" ref="V200:V263" si="20">SUM(P200:R200)</f>
        <v>154833.10999999999</v>
      </c>
      <c r="W200" s="254">
        <f t="shared" ref="W200:W263" si="21">SUM(T200:V200)</f>
        <v>6665028.2672438752</v>
      </c>
      <c r="X200" s="236">
        <f t="shared" ref="X200:X263" si="22">W200/C200</f>
        <v>2180.2513141131421</v>
      </c>
      <c r="Y200" s="255">
        <f t="shared" ref="Y200:Y263" si="23">X200/$X$308</f>
        <v>0.62963302181482872</v>
      </c>
    </row>
    <row r="201" spans="1:25" x14ac:dyDescent="0.25">
      <c r="A201" s="111">
        <f>Données!A201</f>
        <v>5728</v>
      </c>
      <c r="B201" s="119" t="str">
        <f>Données!B201</f>
        <v>Signy-Avenex</v>
      </c>
      <c r="C201" s="249">
        <f>Données!C201</f>
        <v>586</v>
      </c>
      <c r="D201" s="250">
        <f>Données!D201</f>
        <v>58</v>
      </c>
      <c r="E201" s="251">
        <f>Données!E201</f>
        <v>1</v>
      </c>
      <c r="F201" s="252">
        <f>Données!F201</f>
        <v>1703190.41</v>
      </c>
      <c r="G201" s="252">
        <f>Données!G201</f>
        <v>312556.33</v>
      </c>
      <c r="H201" s="252">
        <f>Données!H201</f>
        <v>414854.2</v>
      </c>
      <c r="I201" s="252">
        <f>Données!I201</f>
        <v>57056</v>
      </c>
      <c r="J201" s="252">
        <f>Données!J201</f>
        <v>-31747.15</v>
      </c>
      <c r="K201" s="252">
        <f>Données!K201</f>
        <v>0</v>
      </c>
      <c r="L201" s="252">
        <f>Données!L201</f>
        <v>-11512.78</v>
      </c>
      <c r="M201" s="252">
        <f>Données!M201</f>
        <v>0</v>
      </c>
      <c r="N201" s="252">
        <f>Données!N201</f>
        <v>43934.18</v>
      </c>
      <c r="O201" s="252">
        <f>Données!O201</f>
        <v>247834.6</v>
      </c>
      <c r="P201" s="252">
        <f>Données!P201</f>
        <v>59983.040000000001</v>
      </c>
      <c r="Q201" s="252">
        <f>Données!Q201</f>
        <v>61787.95</v>
      </c>
      <c r="R201" s="252">
        <f>Données!R201</f>
        <v>-3742.9</v>
      </c>
      <c r="S201" s="244"/>
      <c r="T201" s="236">
        <f t="shared" si="18"/>
        <v>2887908.9650810529</v>
      </c>
      <c r="U201" s="253">
        <f t="shared" si="19"/>
        <v>247834.6</v>
      </c>
      <c r="V201" s="253">
        <f t="shared" si="20"/>
        <v>118028.09</v>
      </c>
      <c r="W201" s="254">
        <f t="shared" si="21"/>
        <v>3253771.6550810528</v>
      </c>
      <c r="X201" s="236">
        <f t="shared" si="22"/>
        <v>5552.511356793605</v>
      </c>
      <c r="Y201" s="255">
        <f t="shared" si="23"/>
        <v>1.6035052847387887</v>
      </c>
    </row>
    <row r="202" spans="1:25" x14ac:dyDescent="0.25">
      <c r="A202" s="111">
        <f>Données!A202</f>
        <v>5729</v>
      </c>
      <c r="B202" s="119" t="str">
        <f>Données!B202</f>
        <v>Tannay</v>
      </c>
      <c r="C202" s="249">
        <f>Données!C202</f>
        <v>1732</v>
      </c>
      <c r="D202" s="250">
        <f>Données!D202</f>
        <v>60.5</v>
      </c>
      <c r="E202" s="251">
        <f>Données!E202</f>
        <v>1.5</v>
      </c>
      <c r="F202" s="252">
        <f>Données!F202</f>
        <v>8222102.4000000004</v>
      </c>
      <c r="G202" s="252">
        <f>Données!G202</f>
        <v>1974323.62</v>
      </c>
      <c r="H202" s="252">
        <f>Données!H202</f>
        <v>10199.200000000001</v>
      </c>
      <c r="I202" s="252">
        <f>Données!I202</f>
        <v>7794.35</v>
      </c>
      <c r="J202" s="252">
        <f>Données!J202</f>
        <v>252359.54</v>
      </c>
      <c r="K202" s="252">
        <f>Données!K202</f>
        <v>4659.1000000000004</v>
      </c>
      <c r="L202" s="252">
        <f>Données!L202</f>
        <v>-31907.52</v>
      </c>
      <c r="M202" s="252">
        <f>Données!M202</f>
        <v>0</v>
      </c>
      <c r="N202" s="252">
        <f>Données!N202</f>
        <v>1668.68</v>
      </c>
      <c r="O202" s="252">
        <f>Données!O202</f>
        <v>1016937.75</v>
      </c>
      <c r="P202" s="252">
        <f>Données!P202</f>
        <v>123917.61</v>
      </c>
      <c r="Q202" s="252">
        <f>Données!Q202</f>
        <v>7872.25</v>
      </c>
      <c r="R202" s="252">
        <f>Données!R202</f>
        <v>-22763.02</v>
      </c>
      <c r="S202" s="244"/>
      <c r="T202" s="236">
        <f t="shared" si="18"/>
        <v>11617115.924251055</v>
      </c>
      <c r="U202" s="253">
        <f t="shared" si="19"/>
        <v>677958.5</v>
      </c>
      <c r="V202" s="253">
        <f t="shared" si="20"/>
        <v>109026.83999999998</v>
      </c>
      <c r="W202" s="254">
        <f t="shared" si="21"/>
        <v>12404101.264251055</v>
      </c>
      <c r="X202" s="236">
        <f t="shared" si="22"/>
        <v>7161.721284209616</v>
      </c>
      <c r="Y202" s="255">
        <f t="shared" si="23"/>
        <v>2.0682277242000886</v>
      </c>
    </row>
    <row r="203" spans="1:25" x14ac:dyDescent="0.25">
      <c r="A203" s="111">
        <f>Données!A203</f>
        <v>5730</v>
      </c>
      <c r="B203" s="119" t="str">
        <f>Données!B203</f>
        <v>Trélex</v>
      </c>
      <c r="C203" s="249">
        <f>Données!C203</f>
        <v>1427</v>
      </c>
      <c r="D203" s="250">
        <f>Données!D203</f>
        <v>55.5</v>
      </c>
      <c r="E203" s="251">
        <f>Données!E203</f>
        <v>0.9</v>
      </c>
      <c r="F203" s="252">
        <f>Données!F203</f>
        <v>4917377.05</v>
      </c>
      <c r="G203" s="252">
        <f>Données!G203</f>
        <v>2506471.31</v>
      </c>
      <c r="H203" s="252">
        <f>Données!H203</f>
        <v>72355.399999999994</v>
      </c>
      <c r="I203" s="252">
        <f>Données!I203</f>
        <v>3516.15</v>
      </c>
      <c r="J203" s="252">
        <f>Données!J203</f>
        <v>123456.62</v>
      </c>
      <c r="K203" s="252">
        <f>Données!K203</f>
        <v>61691.32</v>
      </c>
      <c r="L203" s="252">
        <f>Données!L203</f>
        <v>-80799.100000000006</v>
      </c>
      <c r="M203" s="252">
        <f>Données!M203</f>
        <v>0</v>
      </c>
      <c r="N203" s="252">
        <f>Données!N203</f>
        <v>6659.36</v>
      </c>
      <c r="O203" s="252">
        <f>Données!O203</f>
        <v>453358.2</v>
      </c>
      <c r="P203" s="252">
        <f>Données!P203</f>
        <v>70417.009999999995</v>
      </c>
      <c r="Q203" s="252">
        <f>Données!Q203</f>
        <v>12203.05</v>
      </c>
      <c r="R203" s="252">
        <f>Données!R203</f>
        <v>-112953.4</v>
      </c>
      <c r="S203" s="244"/>
      <c r="T203" s="236">
        <f t="shared" si="18"/>
        <v>9230740.3163823262</v>
      </c>
      <c r="U203" s="253">
        <f t="shared" si="19"/>
        <v>503731.33333333331</v>
      </c>
      <c r="V203" s="253">
        <f t="shared" si="20"/>
        <v>-30333.339999999997</v>
      </c>
      <c r="W203" s="254">
        <f t="shared" si="21"/>
        <v>9704138.3097156603</v>
      </c>
      <c r="X203" s="236">
        <f t="shared" si="22"/>
        <v>6800.3772317558933</v>
      </c>
      <c r="Y203" s="255">
        <f t="shared" si="23"/>
        <v>1.9638754661881268</v>
      </c>
    </row>
    <row r="204" spans="1:25" x14ac:dyDescent="0.25">
      <c r="A204" s="111">
        <f>Données!A204</f>
        <v>5731</v>
      </c>
      <c r="B204" s="119" t="str">
        <f>Données!B204</f>
        <v>Le Vaud</v>
      </c>
      <c r="C204" s="249">
        <f>Données!C204</f>
        <v>1374</v>
      </c>
      <c r="D204" s="250">
        <f>Données!D204</f>
        <v>69</v>
      </c>
      <c r="E204" s="251">
        <f>Données!E204</f>
        <v>1.5</v>
      </c>
      <c r="F204" s="252">
        <f>Données!F204</f>
        <v>3772921.99</v>
      </c>
      <c r="G204" s="252">
        <f>Données!G204</f>
        <v>529482.02</v>
      </c>
      <c r="H204" s="252">
        <f>Données!H204</f>
        <v>10476.1</v>
      </c>
      <c r="I204" s="252">
        <f>Données!I204</f>
        <v>4779.1499999999996</v>
      </c>
      <c r="J204" s="252">
        <f>Données!J204</f>
        <v>0</v>
      </c>
      <c r="K204" s="252">
        <f>Données!K204</f>
        <v>13649.46</v>
      </c>
      <c r="L204" s="252">
        <f>Données!L204</f>
        <v>-30786.15</v>
      </c>
      <c r="M204" s="252">
        <f>Données!M204</f>
        <v>0</v>
      </c>
      <c r="N204" s="252">
        <f>Données!N204</f>
        <v>1420.24</v>
      </c>
      <c r="O204" s="252">
        <f>Données!O204</f>
        <v>479792.15</v>
      </c>
      <c r="P204" s="252">
        <f>Données!P204</f>
        <v>50336.49</v>
      </c>
      <c r="Q204" s="252">
        <f>Données!Q204</f>
        <v>5779.6</v>
      </c>
      <c r="R204" s="252">
        <f>Données!R204</f>
        <v>-8445.0499999999993</v>
      </c>
      <c r="S204" s="244"/>
      <c r="T204" s="236">
        <f t="shared" si="18"/>
        <v>4196805.5840003854</v>
      </c>
      <c r="U204" s="253">
        <f t="shared" si="19"/>
        <v>319861.43333333335</v>
      </c>
      <c r="V204" s="253">
        <f t="shared" si="20"/>
        <v>47671.039999999994</v>
      </c>
      <c r="W204" s="254">
        <f t="shared" si="21"/>
        <v>4564338.057333719</v>
      </c>
      <c r="X204" s="236">
        <f t="shared" si="22"/>
        <v>3321.9345395441915</v>
      </c>
      <c r="Y204" s="255">
        <f t="shared" si="23"/>
        <v>0.95933880138724192</v>
      </c>
    </row>
    <row r="205" spans="1:25" x14ac:dyDescent="0.25">
      <c r="A205" s="111">
        <f>Données!A205</f>
        <v>5732</v>
      </c>
      <c r="B205" s="119" t="str">
        <f>Données!B205</f>
        <v>Vich</v>
      </c>
      <c r="C205" s="249">
        <f>Données!C205</f>
        <v>1174</v>
      </c>
      <c r="D205" s="250">
        <f>Données!D205</f>
        <v>63</v>
      </c>
      <c r="E205" s="251">
        <f>Données!E205</f>
        <v>1</v>
      </c>
      <c r="F205" s="252">
        <f>Données!F205</f>
        <v>4296382.3099999996</v>
      </c>
      <c r="G205" s="252">
        <f>Données!G205</f>
        <v>1056751.54</v>
      </c>
      <c r="H205" s="252">
        <f>Données!H205</f>
        <v>211136.6</v>
      </c>
      <c r="I205" s="252">
        <f>Données!I205</f>
        <v>10828.65</v>
      </c>
      <c r="J205" s="252">
        <f>Données!J205</f>
        <v>0</v>
      </c>
      <c r="K205" s="252">
        <f>Données!K205</f>
        <v>13292.59</v>
      </c>
      <c r="L205" s="252">
        <f>Données!L205</f>
        <v>-51891.97</v>
      </c>
      <c r="M205" s="252">
        <f>Données!M205</f>
        <v>0</v>
      </c>
      <c r="N205" s="252">
        <f>Données!N205</f>
        <v>20664.650000000001</v>
      </c>
      <c r="O205" s="252">
        <f>Données!O205</f>
        <v>410777.65</v>
      </c>
      <c r="P205" s="252">
        <f>Données!P205</f>
        <v>-16056.31</v>
      </c>
      <c r="Q205" s="252">
        <f>Données!Q205</f>
        <v>28322.799999999999</v>
      </c>
      <c r="R205" s="252">
        <f>Données!R205</f>
        <v>-15261.24</v>
      </c>
      <c r="S205" s="244"/>
      <c r="T205" s="236">
        <f t="shared" si="18"/>
        <v>5937669.2528784815</v>
      </c>
      <c r="U205" s="253">
        <f t="shared" si="19"/>
        <v>410777.65</v>
      </c>
      <c r="V205" s="253">
        <f t="shared" si="20"/>
        <v>-2994.75</v>
      </c>
      <c r="W205" s="254">
        <f t="shared" si="21"/>
        <v>6345452.1528784819</v>
      </c>
      <c r="X205" s="236">
        <f t="shared" si="22"/>
        <v>5404.9847980225568</v>
      </c>
      <c r="Y205" s="255">
        <f t="shared" si="23"/>
        <v>1.5609012085959695</v>
      </c>
    </row>
    <row r="206" spans="1:25" x14ac:dyDescent="0.25">
      <c r="A206" s="111">
        <f>Données!A206</f>
        <v>5741</v>
      </c>
      <c r="B206" s="119" t="str">
        <f>Données!B206</f>
        <v>L'Abergement</v>
      </c>
      <c r="C206" s="249">
        <f>Données!C206</f>
        <v>267</v>
      </c>
      <c r="D206" s="250">
        <f>Données!D206</f>
        <v>80</v>
      </c>
      <c r="E206" s="251">
        <f>Données!E206</f>
        <v>1.2</v>
      </c>
      <c r="F206" s="252">
        <f>Données!F206</f>
        <v>542775.18999999994</v>
      </c>
      <c r="G206" s="252">
        <f>Données!G206</f>
        <v>105964.91</v>
      </c>
      <c r="H206" s="252">
        <f>Données!H206</f>
        <v>3203.5</v>
      </c>
      <c r="I206" s="252">
        <f>Données!I206</f>
        <v>1911.85</v>
      </c>
      <c r="J206" s="252">
        <f>Données!J206</f>
        <v>0</v>
      </c>
      <c r="K206" s="252">
        <f>Données!K206</f>
        <v>8220.32</v>
      </c>
      <c r="L206" s="252">
        <f>Données!L206</f>
        <v>-24410.13</v>
      </c>
      <c r="M206" s="252">
        <f>Données!M206</f>
        <v>0</v>
      </c>
      <c r="N206" s="252">
        <f>Données!N206</f>
        <v>476.23</v>
      </c>
      <c r="O206" s="252">
        <f>Données!O206</f>
        <v>57101.45</v>
      </c>
      <c r="P206" s="252">
        <f>Données!P206</f>
        <v>7528.59</v>
      </c>
      <c r="Q206" s="252">
        <f>Données!Q206</f>
        <v>0</v>
      </c>
      <c r="R206" s="252">
        <f>Données!R206</f>
        <v>-60.75</v>
      </c>
      <c r="S206" s="244"/>
      <c r="T206" s="236">
        <f t="shared" si="18"/>
        <v>536945.93999795325</v>
      </c>
      <c r="U206" s="253">
        <f t="shared" si="19"/>
        <v>47584.541666666664</v>
      </c>
      <c r="V206" s="253">
        <f t="shared" si="20"/>
        <v>7467.84</v>
      </c>
      <c r="W206" s="254">
        <f t="shared" si="21"/>
        <v>591998.32166461984</v>
      </c>
      <c r="X206" s="236">
        <f t="shared" si="22"/>
        <v>2217.2221785191755</v>
      </c>
      <c r="Y206" s="255">
        <f t="shared" si="23"/>
        <v>0.64030980798364978</v>
      </c>
    </row>
    <row r="207" spans="1:25" x14ac:dyDescent="0.25">
      <c r="A207" s="111">
        <f>Données!A207</f>
        <v>5742</v>
      </c>
      <c r="B207" s="119" t="str">
        <f>Données!B207</f>
        <v>Agiez</v>
      </c>
      <c r="C207" s="249">
        <f>Données!C207</f>
        <v>382</v>
      </c>
      <c r="D207" s="250">
        <f>Données!D207</f>
        <v>76</v>
      </c>
      <c r="E207" s="251">
        <f>Données!E207</f>
        <v>0.5</v>
      </c>
      <c r="F207" s="252">
        <f>Données!F207</f>
        <v>721673.14</v>
      </c>
      <c r="G207" s="252">
        <f>Données!G207</f>
        <v>60951.87</v>
      </c>
      <c r="H207" s="252">
        <f>Données!H207</f>
        <v>21335.55</v>
      </c>
      <c r="I207" s="252">
        <f>Données!I207</f>
        <v>2190</v>
      </c>
      <c r="J207" s="252">
        <f>Données!J207</f>
        <v>0</v>
      </c>
      <c r="K207" s="252">
        <f>Données!K207</f>
        <v>0</v>
      </c>
      <c r="L207" s="252">
        <f>Données!L207</f>
        <v>-11049.67</v>
      </c>
      <c r="M207" s="252">
        <f>Données!M207</f>
        <v>0</v>
      </c>
      <c r="N207" s="252">
        <f>Données!N207</f>
        <v>2190.1999999999998</v>
      </c>
      <c r="O207" s="252">
        <f>Données!O207</f>
        <v>30451.85</v>
      </c>
      <c r="P207" s="252">
        <f>Données!P207</f>
        <v>12843.59</v>
      </c>
      <c r="Q207" s="252">
        <f>Données!Q207</f>
        <v>1672.3</v>
      </c>
      <c r="R207" s="252">
        <f>Données!R207</f>
        <v>-141.69999999999999</v>
      </c>
      <c r="S207" s="244"/>
      <c r="T207" s="236">
        <f t="shared" si="18"/>
        <v>706165.71395594103</v>
      </c>
      <c r="U207" s="253">
        <f t="shared" si="19"/>
        <v>60903.7</v>
      </c>
      <c r="V207" s="253">
        <f t="shared" si="20"/>
        <v>14374.189999999999</v>
      </c>
      <c r="W207" s="254">
        <f t="shared" si="21"/>
        <v>781443.60395594093</v>
      </c>
      <c r="X207" s="236">
        <f t="shared" si="22"/>
        <v>2045.663884701416</v>
      </c>
      <c r="Y207" s="255">
        <f t="shared" si="23"/>
        <v>0.59076562642318098</v>
      </c>
    </row>
    <row r="208" spans="1:25" x14ac:dyDescent="0.25">
      <c r="A208" s="111">
        <f>Données!A208</f>
        <v>5743</v>
      </c>
      <c r="B208" s="119" t="str">
        <f>Données!B208</f>
        <v>Arnex-sur-Orbe</v>
      </c>
      <c r="C208" s="249">
        <f>Données!C208</f>
        <v>698</v>
      </c>
      <c r="D208" s="250">
        <f>Données!D208</f>
        <v>71</v>
      </c>
      <c r="E208" s="251">
        <f>Données!E208</f>
        <v>0.8</v>
      </c>
      <c r="F208" s="252">
        <f>Données!F208</f>
        <v>1049175.29</v>
      </c>
      <c r="G208" s="252">
        <f>Données!G208</f>
        <v>148616.70000000001</v>
      </c>
      <c r="H208" s="252">
        <f>Données!H208</f>
        <v>18998.400000000001</v>
      </c>
      <c r="I208" s="252">
        <f>Données!I208</f>
        <v>1450.1</v>
      </c>
      <c r="J208" s="252">
        <f>Données!J208</f>
        <v>0</v>
      </c>
      <c r="K208" s="252">
        <f>Données!K208</f>
        <v>0</v>
      </c>
      <c r="L208" s="252">
        <f>Données!L208</f>
        <v>-14424.83</v>
      </c>
      <c r="M208" s="252">
        <f>Données!M208</f>
        <v>0</v>
      </c>
      <c r="N208" s="252">
        <f>Données!N208</f>
        <v>1903.73</v>
      </c>
      <c r="O208" s="252">
        <f>Données!O208</f>
        <v>82482.899999999994</v>
      </c>
      <c r="P208" s="252">
        <f>Données!P208</f>
        <v>12108.61</v>
      </c>
      <c r="Q208" s="252">
        <f>Données!Q208</f>
        <v>0</v>
      </c>
      <c r="R208" s="252">
        <f>Données!R208</f>
        <v>-119.6</v>
      </c>
      <c r="S208" s="244"/>
      <c r="T208" s="236">
        <f t="shared" si="18"/>
        <v>1143118.374553293</v>
      </c>
      <c r="U208" s="253">
        <f t="shared" si="19"/>
        <v>103103.62499999999</v>
      </c>
      <c r="V208" s="253">
        <f t="shared" si="20"/>
        <v>11989.01</v>
      </c>
      <c r="W208" s="254">
        <f t="shared" si="21"/>
        <v>1258211.009553293</v>
      </c>
      <c r="X208" s="236">
        <f t="shared" si="22"/>
        <v>1802.5945695605917</v>
      </c>
      <c r="Y208" s="255">
        <f t="shared" si="23"/>
        <v>0.52056983458400408</v>
      </c>
    </row>
    <row r="209" spans="1:25" x14ac:dyDescent="0.25">
      <c r="A209" s="111">
        <f>Données!A209</f>
        <v>5744</v>
      </c>
      <c r="B209" s="119" t="str">
        <f>Données!B209</f>
        <v>Ballaigues</v>
      </c>
      <c r="C209" s="249">
        <f>Données!C209</f>
        <v>1217</v>
      </c>
      <c r="D209" s="250">
        <f>Données!D209</f>
        <v>65</v>
      </c>
      <c r="E209" s="251">
        <f>Données!E209</f>
        <v>1</v>
      </c>
      <c r="F209" s="252">
        <f>Données!F209</f>
        <v>1397737.95</v>
      </c>
      <c r="G209" s="252">
        <f>Données!G209</f>
        <v>223522.51</v>
      </c>
      <c r="H209" s="252">
        <f>Données!H209</f>
        <v>1538494.45</v>
      </c>
      <c r="I209" s="252">
        <f>Données!I209</f>
        <v>12026.15</v>
      </c>
      <c r="J209" s="252">
        <f>Données!J209</f>
        <v>0</v>
      </c>
      <c r="K209" s="252">
        <f>Données!K209</f>
        <v>16001.13</v>
      </c>
      <c r="L209" s="252">
        <f>Données!L209</f>
        <v>-22446.720000000001</v>
      </c>
      <c r="M209" s="252">
        <f>Données!M209</f>
        <v>0</v>
      </c>
      <c r="N209" s="252">
        <f>Données!N209</f>
        <v>144351.29</v>
      </c>
      <c r="O209" s="252">
        <f>Données!O209</f>
        <v>208066.15</v>
      </c>
      <c r="P209" s="252">
        <f>Données!P209</f>
        <v>69072.89</v>
      </c>
      <c r="Q209" s="252">
        <f>Données!Q209</f>
        <v>0</v>
      </c>
      <c r="R209" s="252">
        <f>Données!R209</f>
        <v>-2119.3000000000002</v>
      </c>
      <c r="S209" s="244"/>
      <c r="T209" s="236">
        <f t="shared" si="18"/>
        <v>3427495.1207650723</v>
      </c>
      <c r="U209" s="253">
        <f t="shared" si="19"/>
        <v>208066.15</v>
      </c>
      <c r="V209" s="253">
        <f t="shared" si="20"/>
        <v>66953.59</v>
      </c>
      <c r="W209" s="254">
        <f t="shared" si="21"/>
        <v>3702514.8607650721</v>
      </c>
      <c r="X209" s="236">
        <f t="shared" si="22"/>
        <v>3042.3293843591391</v>
      </c>
      <c r="Y209" s="255">
        <f t="shared" si="23"/>
        <v>0.87859185371447801</v>
      </c>
    </row>
    <row r="210" spans="1:25" x14ac:dyDescent="0.25">
      <c r="A210" s="111">
        <f>Données!A210</f>
        <v>5745</v>
      </c>
      <c r="B210" s="119" t="str">
        <f>Données!B210</f>
        <v>Baulmes</v>
      </c>
      <c r="C210" s="249">
        <f>Données!C210</f>
        <v>1189</v>
      </c>
      <c r="D210" s="250">
        <f>Données!D210</f>
        <v>76.5</v>
      </c>
      <c r="E210" s="251">
        <f>Données!E210</f>
        <v>1</v>
      </c>
      <c r="F210" s="252">
        <f>Données!F210</f>
        <v>1844408.99</v>
      </c>
      <c r="G210" s="252">
        <f>Données!G210</f>
        <v>226486.85</v>
      </c>
      <c r="H210" s="252">
        <f>Données!H210</f>
        <v>44222.6</v>
      </c>
      <c r="I210" s="252">
        <f>Données!I210</f>
        <v>4034.25</v>
      </c>
      <c r="J210" s="252">
        <f>Données!J210</f>
        <v>0</v>
      </c>
      <c r="K210" s="252">
        <f>Données!K210</f>
        <v>7941.54</v>
      </c>
      <c r="L210" s="252">
        <f>Données!L210</f>
        <v>-15180.01</v>
      </c>
      <c r="M210" s="252">
        <f>Données!M210</f>
        <v>0</v>
      </c>
      <c r="N210" s="252">
        <f>Données!N210</f>
        <v>4492.6400000000003</v>
      </c>
      <c r="O210" s="252">
        <f>Données!O210</f>
        <v>169266.05</v>
      </c>
      <c r="P210" s="252">
        <f>Données!P210</f>
        <v>32633.47</v>
      </c>
      <c r="Q210" s="252">
        <f>Données!Q210</f>
        <v>0</v>
      </c>
      <c r="R210" s="252">
        <f>Données!R210</f>
        <v>-654.54999999999995</v>
      </c>
      <c r="S210" s="244"/>
      <c r="T210" s="236">
        <f t="shared" si="18"/>
        <v>1862263.0857289215</v>
      </c>
      <c r="U210" s="253">
        <f t="shared" si="19"/>
        <v>169266.05</v>
      </c>
      <c r="V210" s="253">
        <f t="shared" si="20"/>
        <v>31978.920000000002</v>
      </c>
      <c r="W210" s="254">
        <f t="shared" si="21"/>
        <v>2063508.0557289214</v>
      </c>
      <c r="X210" s="236">
        <f t="shared" si="22"/>
        <v>1735.4987853060736</v>
      </c>
      <c r="Y210" s="255">
        <f t="shared" si="23"/>
        <v>0.50119329706388227</v>
      </c>
    </row>
    <row r="211" spans="1:25" x14ac:dyDescent="0.25">
      <c r="A211" s="111">
        <f>Données!A211</f>
        <v>5746</v>
      </c>
      <c r="B211" s="119" t="str">
        <f>Données!B211</f>
        <v>Bavois</v>
      </c>
      <c r="C211" s="249">
        <f>Données!C211</f>
        <v>1055</v>
      </c>
      <c r="D211" s="250">
        <f>Données!D211</f>
        <v>72</v>
      </c>
      <c r="E211" s="251">
        <f>Données!E211</f>
        <v>1.2</v>
      </c>
      <c r="F211" s="252">
        <f>Données!F211</f>
        <v>2129057.48</v>
      </c>
      <c r="G211" s="252">
        <f>Données!G211</f>
        <v>238125.74</v>
      </c>
      <c r="H211" s="252">
        <f>Données!H211</f>
        <v>43873.599999999999</v>
      </c>
      <c r="I211" s="252">
        <f>Données!I211</f>
        <v>3498.7</v>
      </c>
      <c r="J211" s="252">
        <f>Données!J211</f>
        <v>0</v>
      </c>
      <c r="K211" s="252">
        <f>Données!K211</f>
        <v>7457.03</v>
      </c>
      <c r="L211" s="252">
        <f>Données!L211</f>
        <v>-12768.19</v>
      </c>
      <c r="M211" s="252">
        <f>Données!M211</f>
        <v>0</v>
      </c>
      <c r="N211" s="252">
        <f>Données!N211</f>
        <v>4410.29</v>
      </c>
      <c r="O211" s="252">
        <f>Données!O211</f>
        <v>262860.7</v>
      </c>
      <c r="P211" s="252">
        <f>Données!P211</f>
        <v>24335.84</v>
      </c>
      <c r="Q211" s="252">
        <f>Données!Q211</f>
        <v>20976</v>
      </c>
      <c r="R211" s="252">
        <f>Données!R211</f>
        <v>-134.1</v>
      </c>
      <c r="S211" s="244"/>
      <c r="T211" s="236">
        <f t="shared" si="18"/>
        <v>2256555.1047531189</v>
      </c>
      <c r="U211" s="253">
        <f t="shared" si="19"/>
        <v>219050.58333333334</v>
      </c>
      <c r="V211" s="253">
        <f t="shared" si="20"/>
        <v>45177.74</v>
      </c>
      <c r="W211" s="254">
        <f t="shared" si="21"/>
        <v>2520783.4280864527</v>
      </c>
      <c r="X211" s="236">
        <f t="shared" si="22"/>
        <v>2389.3681782809977</v>
      </c>
      <c r="Y211" s="255">
        <f t="shared" si="23"/>
        <v>0.69002371267057805</v>
      </c>
    </row>
    <row r="212" spans="1:25" x14ac:dyDescent="0.25">
      <c r="A212" s="111">
        <f>Données!A212</f>
        <v>5747</v>
      </c>
      <c r="B212" s="119" t="str">
        <f>Données!B212</f>
        <v>Bofflens</v>
      </c>
      <c r="C212" s="249">
        <f>Données!C212</f>
        <v>201</v>
      </c>
      <c r="D212" s="250">
        <f>Données!D212</f>
        <v>69</v>
      </c>
      <c r="E212" s="251">
        <f>Données!E212</f>
        <v>1</v>
      </c>
      <c r="F212" s="252">
        <f>Données!F212</f>
        <v>339794.76</v>
      </c>
      <c r="G212" s="252">
        <f>Données!G212</f>
        <v>58690.11</v>
      </c>
      <c r="H212" s="252">
        <f>Données!H212</f>
        <v>30776.9</v>
      </c>
      <c r="I212" s="252">
        <f>Données!I212</f>
        <v>1183.2</v>
      </c>
      <c r="J212" s="252">
        <f>Données!J212</f>
        <v>0</v>
      </c>
      <c r="K212" s="252">
        <f>Données!K212</f>
        <v>0</v>
      </c>
      <c r="L212" s="252">
        <f>Données!L212</f>
        <v>-445.55</v>
      </c>
      <c r="M212" s="252">
        <f>Données!M212</f>
        <v>0</v>
      </c>
      <c r="N212" s="252">
        <f>Données!N212</f>
        <v>2975.44</v>
      </c>
      <c r="O212" s="252">
        <f>Données!O212</f>
        <v>35908.9</v>
      </c>
      <c r="P212" s="252">
        <f>Données!P212</f>
        <v>8.5</v>
      </c>
      <c r="Q212" s="252">
        <f>Données!Q212</f>
        <v>0</v>
      </c>
      <c r="R212" s="252">
        <f>Données!R212</f>
        <v>-16.2</v>
      </c>
      <c r="S212" s="244"/>
      <c r="T212" s="236">
        <f t="shared" si="18"/>
        <v>422393.18150763272</v>
      </c>
      <c r="U212" s="253">
        <f t="shared" si="19"/>
        <v>35908.9</v>
      </c>
      <c r="V212" s="253">
        <f t="shared" si="20"/>
        <v>-7.6999999999999993</v>
      </c>
      <c r="W212" s="254">
        <f t="shared" si="21"/>
        <v>458294.38150763273</v>
      </c>
      <c r="X212" s="236">
        <f t="shared" si="22"/>
        <v>2280.0715497892174</v>
      </c>
      <c r="Y212" s="255">
        <f t="shared" si="23"/>
        <v>0.65846002731651376</v>
      </c>
    </row>
    <row r="213" spans="1:25" x14ac:dyDescent="0.25">
      <c r="A213" s="111">
        <f>Données!A213</f>
        <v>5748</v>
      </c>
      <c r="B213" s="119" t="str">
        <f>Données!B213</f>
        <v>Bretonnières</v>
      </c>
      <c r="C213" s="249">
        <f>Données!C213</f>
        <v>265</v>
      </c>
      <c r="D213" s="250">
        <f>Données!D213</f>
        <v>69</v>
      </c>
      <c r="E213" s="251">
        <f>Données!E213</f>
        <v>0.6</v>
      </c>
      <c r="F213" s="252">
        <f>Données!F213</f>
        <v>361914.12</v>
      </c>
      <c r="G213" s="252">
        <f>Données!G213</f>
        <v>41454.69</v>
      </c>
      <c r="H213" s="252">
        <f>Données!H213</f>
        <v>2852.95</v>
      </c>
      <c r="I213" s="252">
        <f>Données!I213</f>
        <v>1237.05</v>
      </c>
      <c r="J213" s="252">
        <f>Données!J213</f>
        <v>0</v>
      </c>
      <c r="K213" s="252">
        <f>Données!K213</f>
        <v>0</v>
      </c>
      <c r="L213" s="252">
        <f>Données!L213</f>
        <v>-91.04</v>
      </c>
      <c r="M213" s="252">
        <f>Données!M213</f>
        <v>0</v>
      </c>
      <c r="N213" s="252">
        <f>Données!N213</f>
        <v>380.77</v>
      </c>
      <c r="O213" s="252">
        <f>Données!O213</f>
        <v>25009.25</v>
      </c>
      <c r="P213" s="252">
        <f>Données!P213</f>
        <v>-178.72</v>
      </c>
      <c r="Q213" s="252">
        <f>Données!Q213</f>
        <v>0</v>
      </c>
      <c r="R213" s="252">
        <f>Données!R213</f>
        <v>0</v>
      </c>
      <c r="S213" s="244"/>
      <c r="T213" s="236">
        <f t="shared" si="18"/>
        <v>397783.3795377686</v>
      </c>
      <c r="U213" s="253">
        <f t="shared" si="19"/>
        <v>41682.083333333336</v>
      </c>
      <c r="V213" s="253">
        <f t="shared" si="20"/>
        <v>-178.72</v>
      </c>
      <c r="W213" s="254">
        <f t="shared" si="21"/>
        <v>439286.74287110195</v>
      </c>
      <c r="X213" s="236">
        <f t="shared" si="22"/>
        <v>1657.6858221551017</v>
      </c>
      <c r="Y213" s="255">
        <f t="shared" si="23"/>
        <v>0.47872175407800344</v>
      </c>
    </row>
    <row r="214" spans="1:25" x14ac:dyDescent="0.25">
      <c r="A214" s="111">
        <f>Données!A214</f>
        <v>5749</v>
      </c>
      <c r="B214" s="119" t="str">
        <f>Données!B214</f>
        <v>Chavornay</v>
      </c>
      <c r="C214" s="249">
        <f>Données!C214</f>
        <v>5374</v>
      </c>
      <c r="D214" s="250">
        <f>Données!D214</f>
        <v>70.5</v>
      </c>
      <c r="E214" s="251">
        <f>Données!E214</f>
        <v>1</v>
      </c>
      <c r="F214" s="252">
        <f>Données!F214</f>
        <v>8982384.0099999998</v>
      </c>
      <c r="G214" s="252">
        <f>Données!G214</f>
        <v>939432.2</v>
      </c>
      <c r="H214" s="252">
        <f>Données!H214</f>
        <v>352340.16</v>
      </c>
      <c r="I214" s="252">
        <f>Données!I214</f>
        <v>29055.05</v>
      </c>
      <c r="J214" s="252">
        <f>Données!J214</f>
        <v>0</v>
      </c>
      <c r="K214" s="252">
        <f>Données!K214</f>
        <v>46990.74</v>
      </c>
      <c r="L214" s="252">
        <f>Données!L214</f>
        <v>-228735.24</v>
      </c>
      <c r="M214" s="252">
        <f>Données!M214</f>
        <v>0</v>
      </c>
      <c r="N214" s="252">
        <f>Données!N214</f>
        <v>35507.360000000001</v>
      </c>
      <c r="O214" s="252">
        <f>Données!O214</f>
        <v>945221.05</v>
      </c>
      <c r="P214" s="252">
        <f>Données!P214</f>
        <v>242556.39</v>
      </c>
      <c r="Q214" s="252">
        <f>Données!Q214</f>
        <v>42165.599999999999</v>
      </c>
      <c r="R214" s="252">
        <f>Données!R214</f>
        <v>-8517.5</v>
      </c>
      <c r="S214" s="244"/>
      <c r="T214" s="236">
        <f t="shared" si="18"/>
        <v>9697918.8332501221</v>
      </c>
      <c r="U214" s="253">
        <f t="shared" si="19"/>
        <v>945221.05</v>
      </c>
      <c r="V214" s="253">
        <f t="shared" si="20"/>
        <v>276204.49</v>
      </c>
      <c r="W214" s="254">
        <f t="shared" si="21"/>
        <v>10919344.373250123</v>
      </c>
      <c r="X214" s="236">
        <f t="shared" si="22"/>
        <v>2031.8839548288283</v>
      </c>
      <c r="Y214" s="255">
        <f t="shared" si="23"/>
        <v>0.586786131568661</v>
      </c>
    </row>
    <row r="215" spans="1:25" x14ac:dyDescent="0.25">
      <c r="A215" s="111">
        <f>Données!A215</f>
        <v>5750</v>
      </c>
      <c r="B215" s="119" t="str">
        <f>Données!B215</f>
        <v>Les Clées</v>
      </c>
      <c r="C215" s="249">
        <f>Données!C215</f>
        <v>195</v>
      </c>
      <c r="D215" s="250">
        <f>Données!D215</f>
        <v>80</v>
      </c>
      <c r="E215" s="251">
        <f>Données!E215</f>
        <v>0.6</v>
      </c>
      <c r="F215" s="252">
        <f>Données!F215</f>
        <v>411681.76</v>
      </c>
      <c r="G215" s="252">
        <f>Données!G215</f>
        <v>69051.259999999995</v>
      </c>
      <c r="H215" s="252">
        <f>Données!H215</f>
        <v>1022.8</v>
      </c>
      <c r="I215" s="252">
        <f>Données!I215</f>
        <v>678.7</v>
      </c>
      <c r="J215" s="252">
        <f>Données!J215</f>
        <v>0</v>
      </c>
      <c r="K215" s="252">
        <f>Données!K215</f>
        <v>0</v>
      </c>
      <c r="L215" s="252">
        <f>Données!L215</f>
        <v>3251.94</v>
      </c>
      <c r="M215" s="252">
        <f>Données!M215</f>
        <v>0</v>
      </c>
      <c r="N215" s="252">
        <f>Données!N215</f>
        <v>158.41</v>
      </c>
      <c r="O215" s="252">
        <f>Données!O215</f>
        <v>15498.95</v>
      </c>
      <c r="P215" s="252">
        <f>Données!P215</f>
        <v>1081.68</v>
      </c>
      <c r="Q215" s="252">
        <f>Données!Q215</f>
        <v>4.4000000000000004</v>
      </c>
      <c r="R215" s="252">
        <f>Données!R215</f>
        <v>-461.25</v>
      </c>
      <c r="S215" s="244"/>
      <c r="T215" s="236">
        <f t="shared" si="18"/>
        <v>408800.0532159619</v>
      </c>
      <c r="U215" s="253">
        <f t="shared" si="19"/>
        <v>25831.583333333336</v>
      </c>
      <c r="V215" s="253">
        <f t="shared" si="20"/>
        <v>624.83000000000015</v>
      </c>
      <c r="W215" s="254">
        <f t="shared" si="21"/>
        <v>435256.46654929523</v>
      </c>
      <c r="X215" s="236">
        <f t="shared" si="22"/>
        <v>2232.0844438425397</v>
      </c>
      <c r="Y215" s="255">
        <f t="shared" si="23"/>
        <v>0.64460186962167698</v>
      </c>
    </row>
    <row r="216" spans="1:25" x14ac:dyDescent="0.25">
      <c r="A216" s="111">
        <f>Données!A216</f>
        <v>5752</v>
      </c>
      <c r="B216" s="119" t="str">
        <f>Données!B216</f>
        <v>Croy</v>
      </c>
      <c r="C216" s="249">
        <f>Données!C216</f>
        <v>408</v>
      </c>
      <c r="D216" s="250">
        <f>Données!D216</f>
        <v>74</v>
      </c>
      <c r="E216" s="251">
        <f>Données!E216</f>
        <v>0.7</v>
      </c>
      <c r="F216" s="252">
        <f>Données!F216</f>
        <v>686649.73</v>
      </c>
      <c r="G216" s="252">
        <f>Données!G216</f>
        <v>189966.11</v>
      </c>
      <c r="H216" s="252">
        <f>Données!H216</f>
        <v>1790.2</v>
      </c>
      <c r="I216" s="252">
        <f>Données!I216</f>
        <v>1876</v>
      </c>
      <c r="J216" s="252">
        <f>Données!J216</f>
        <v>0</v>
      </c>
      <c r="K216" s="252">
        <f>Données!K216</f>
        <v>0</v>
      </c>
      <c r="L216" s="252">
        <f>Données!L216</f>
        <v>-3958.51</v>
      </c>
      <c r="M216" s="252">
        <f>Données!M216</f>
        <v>0</v>
      </c>
      <c r="N216" s="252">
        <f>Données!N216</f>
        <v>341.32</v>
      </c>
      <c r="O216" s="252">
        <f>Données!O216</f>
        <v>44974</v>
      </c>
      <c r="P216" s="252">
        <f>Données!P216</f>
        <v>12188.99</v>
      </c>
      <c r="Q216" s="252">
        <f>Données!Q216</f>
        <v>1379.4</v>
      </c>
      <c r="R216" s="252">
        <f>Données!R216</f>
        <v>-2758.15</v>
      </c>
      <c r="S216" s="244"/>
      <c r="T216" s="236">
        <f t="shared" si="18"/>
        <v>797453.15998914279</v>
      </c>
      <c r="U216" s="253">
        <f t="shared" si="19"/>
        <v>64248.571428571435</v>
      </c>
      <c r="V216" s="253">
        <f t="shared" si="20"/>
        <v>10810.24</v>
      </c>
      <c r="W216" s="254">
        <f t="shared" si="21"/>
        <v>872511.97141771426</v>
      </c>
      <c r="X216" s="236">
        <f t="shared" si="22"/>
        <v>2138.5097338669466</v>
      </c>
      <c r="Y216" s="255">
        <f t="shared" si="23"/>
        <v>0.61757850445914075</v>
      </c>
    </row>
    <row r="217" spans="1:25" x14ac:dyDescent="0.25">
      <c r="A217" s="111">
        <f>Données!A217</f>
        <v>5754</v>
      </c>
      <c r="B217" s="119" t="str">
        <f>Données!B217</f>
        <v>Juriens</v>
      </c>
      <c r="C217" s="249">
        <f>Données!C217</f>
        <v>345</v>
      </c>
      <c r="D217" s="250">
        <f>Données!D217</f>
        <v>79</v>
      </c>
      <c r="E217" s="251">
        <f>Données!E217</f>
        <v>1</v>
      </c>
      <c r="F217" s="252">
        <f>Données!F217</f>
        <v>585137.49</v>
      </c>
      <c r="G217" s="252">
        <f>Données!G217</f>
        <v>83376.490000000005</v>
      </c>
      <c r="H217" s="252">
        <f>Données!H217</f>
        <v>2336.85</v>
      </c>
      <c r="I217" s="252">
        <f>Données!I217</f>
        <v>2095.9</v>
      </c>
      <c r="J217" s="252">
        <f>Données!J217</f>
        <v>0</v>
      </c>
      <c r="K217" s="252">
        <f>Données!K217</f>
        <v>0</v>
      </c>
      <c r="L217" s="252">
        <f>Données!L217</f>
        <v>-7779.85</v>
      </c>
      <c r="M217" s="252">
        <f>Données!M217</f>
        <v>0</v>
      </c>
      <c r="N217" s="252">
        <f>Données!N217</f>
        <v>412.68</v>
      </c>
      <c r="O217" s="252">
        <f>Données!O217</f>
        <v>49665.8</v>
      </c>
      <c r="P217" s="252">
        <f>Données!P217</f>
        <v>4314.1499999999996</v>
      </c>
      <c r="Q217" s="252">
        <f>Données!Q217</f>
        <v>2096.5</v>
      </c>
      <c r="R217" s="252">
        <f>Données!R217</f>
        <v>0</v>
      </c>
      <c r="S217" s="244"/>
      <c r="T217" s="236">
        <f t="shared" si="18"/>
        <v>567121.60734013934</v>
      </c>
      <c r="U217" s="253">
        <f t="shared" si="19"/>
        <v>49665.8</v>
      </c>
      <c r="V217" s="253">
        <f t="shared" si="20"/>
        <v>6410.65</v>
      </c>
      <c r="W217" s="254">
        <f t="shared" si="21"/>
        <v>623198.05734013941</v>
      </c>
      <c r="X217" s="236">
        <f t="shared" si="22"/>
        <v>1806.3711806960562</v>
      </c>
      <c r="Y217" s="255">
        <f t="shared" si="23"/>
        <v>0.52166047907349455</v>
      </c>
    </row>
    <row r="218" spans="1:25" x14ac:dyDescent="0.25">
      <c r="A218" s="111">
        <f>Données!A218</f>
        <v>5755</v>
      </c>
      <c r="B218" s="119" t="str">
        <f>Données!B218</f>
        <v>Lignerolle</v>
      </c>
      <c r="C218" s="249">
        <f>Données!C218</f>
        <v>452</v>
      </c>
      <c r="D218" s="250">
        <f>Données!D218</f>
        <v>78.5</v>
      </c>
      <c r="E218" s="251">
        <f>Données!E218</f>
        <v>0.7</v>
      </c>
      <c r="F218" s="252">
        <f>Données!F218</f>
        <v>621469.35</v>
      </c>
      <c r="G218" s="252">
        <f>Données!G218</f>
        <v>80942.33</v>
      </c>
      <c r="H218" s="252">
        <f>Données!H218</f>
        <v>22916.85</v>
      </c>
      <c r="I218" s="252">
        <f>Données!I218</f>
        <v>215</v>
      </c>
      <c r="J218" s="252">
        <f>Données!J218</f>
        <v>0</v>
      </c>
      <c r="K218" s="252">
        <f>Données!K218</f>
        <v>0</v>
      </c>
      <c r="L218" s="252">
        <f>Données!L218</f>
        <v>-16447.939999999999</v>
      </c>
      <c r="M218" s="252">
        <f>Données!M218</f>
        <v>0</v>
      </c>
      <c r="N218" s="252">
        <f>Données!N218</f>
        <v>2153.54</v>
      </c>
      <c r="O218" s="252">
        <f>Données!O218</f>
        <v>53234.55</v>
      </c>
      <c r="P218" s="252">
        <f>Données!P218</f>
        <v>19319.419999999998</v>
      </c>
      <c r="Q218" s="252">
        <f>Données!Q218</f>
        <v>4315.1000000000004</v>
      </c>
      <c r="R218" s="252">
        <f>Données!R218</f>
        <v>0</v>
      </c>
      <c r="S218" s="244"/>
      <c r="T218" s="236">
        <f t="shared" si="18"/>
        <v>609895.46021073672</v>
      </c>
      <c r="U218" s="253">
        <f t="shared" si="19"/>
        <v>76049.357142857145</v>
      </c>
      <c r="V218" s="253">
        <f t="shared" si="20"/>
        <v>23634.519999999997</v>
      </c>
      <c r="W218" s="254">
        <f t="shared" si="21"/>
        <v>709579.3373535939</v>
      </c>
      <c r="X218" s="236">
        <f t="shared" si="22"/>
        <v>1569.8657906052963</v>
      </c>
      <c r="Y218" s="255">
        <f t="shared" si="23"/>
        <v>0.45336027786530836</v>
      </c>
    </row>
    <row r="219" spans="1:25" x14ac:dyDescent="0.25">
      <c r="A219" s="111">
        <f>Données!A219</f>
        <v>5756</v>
      </c>
      <c r="B219" s="119" t="str">
        <f>Données!B219</f>
        <v>Montcherand</v>
      </c>
      <c r="C219" s="249">
        <f>Données!C219</f>
        <v>494</v>
      </c>
      <c r="D219" s="250">
        <f>Données!D219</f>
        <v>72</v>
      </c>
      <c r="E219" s="251">
        <f>Données!E219</f>
        <v>1</v>
      </c>
      <c r="F219" s="252">
        <f>Données!F219</f>
        <v>1161127.56</v>
      </c>
      <c r="G219" s="252">
        <f>Données!G219</f>
        <v>259094.75</v>
      </c>
      <c r="H219" s="252">
        <f>Données!H219</f>
        <v>13745.05</v>
      </c>
      <c r="I219" s="252">
        <f>Données!I219</f>
        <v>939.85</v>
      </c>
      <c r="J219" s="252">
        <f>Données!J219</f>
        <v>0</v>
      </c>
      <c r="K219" s="252">
        <f>Données!K219</f>
        <v>2892.54</v>
      </c>
      <c r="L219" s="252">
        <f>Données!L219</f>
        <v>-20611.8</v>
      </c>
      <c r="M219" s="252">
        <f>Données!M219</f>
        <v>0</v>
      </c>
      <c r="N219" s="252">
        <f>Données!N219</f>
        <v>1367.14</v>
      </c>
      <c r="O219" s="252">
        <f>Données!O219</f>
        <v>89602.65</v>
      </c>
      <c r="P219" s="252">
        <f>Données!P219</f>
        <v>-7186.66</v>
      </c>
      <c r="Q219" s="252">
        <f>Données!Q219</f>
        <v>212.4</v>
      </c>
      <c r="R219" s="252">
        <f>Données!R219</f>
        <v>-3561.25</v>
      </c>
      <c r="S219" s="244"/>
      <c r="T219" s="236">
        <f t="shared" si="18"/>
        <v>1326224.4164520472</v>
      </c>
      <c r="U219" s="253">
        <f t="shared" si="19"/>
        <v>89602.65</v>
      </c>
      <c r="V219" s="253">
        <f t="shared" si="20"/>
        <v>-10535.51</v>
      </c>
      <c r="W219" s="254">
        <f t="shared" si="21"/>
        <v>1405291.5564520471</v>
      </c>
      <c r="X219" s="236">
        <f t="shared" si="22"/>
        <v>2844.7197499029294</v>
      </c>
      <c r="Y219" s="255">
        <f t="shared" si="23"/>
        <v>0.82152432646338325</v>
      </c>
    </row>
    <row r="220" spans="1:25" x14ac:dyDescent="0.25">
      <c r="A220" s="111">
        <f>Données!A220</f>
        <v>5757</v>
      </c>
      <c r="B220" s="119" t="str">
        <f>Données!B220</f>
        <v>Orbe</v>
      </c>
      <c r="C220" s="249">
        <f>Données!C220</f>
        <v>8008</v>
      </c>
      <c r="D220" s="250">
        <f>Données!D220</f>
        <v>75.5</v>
      </c>
      <c r="E220" s="251">
        <f>Données!E220</f>
        <v>1</v>
      </c>
      <c r="F220" s="252">
        <f>Données!F220</f>
        <v>13075796.560000001</v>
      </c>
      <c r="G220" s="252">
        <f>Données!G220</f>
        <v>1174370.03</v>
      </c>
      <c r="H220" s="252">
        <f>Données!H220</f>
        <v>1492536.05</v>
      </c>
      <c r="I220" s="252">
        <f>Données!I220</f>
        <v>122052.9</v>
      </c>
      <c r="J220" s="252">
        <f>Données!J220</f>
        <v>0</v>
      </c>
      <c r="K220" s="252">
        <f>Données!K220</f>
        <v>190176.05</v>
      </c>
      <c r="L220" s="252">
        <f>Données!L220</f>
        <v>-457432.85</v>
      </c>
      <c r="M220" s="252">
        <f>Données!M220</f>
        <v>0</v>
      </c>
      <c r="N220" s="252">
        <f>Données!N220</f>
        <v>150315.96</v>
      </c>
      <c r="O220" s="252">
        <f>Données!O220</f>
        <v>1600785.75</v>
      </c>
      <c r="P220" s="252">
        <f>Données!P220</f>
        <v>673905.54</v>
      </c>
      <c r="Q220" s="252">
        <f>Données!Q220</f>
        <v>195063.15</v>
      </c>
      <c r="R220" s="252">
        <f>Données!R220</f>
        <v>-3087.4</v>
      </c>
      <c r="S220" s="244"/>
      <c r="T220" s="236">
        <f t="shared" si="18"/>
        <v>14040308.601331171</v>
      </c>
      <c r="U220" s="253">
        <f t="shared" si="19"/>
        <v>1600785.75</v>
      </c>
      <c r="V220" s="253">
        <f t="shared" si="20"/>
        <v>865881.29</v>
      </c>
      <c r="W220" s="254">
        <f t="shared" si="21"/>
        <v>16506975.64133117</v>
      </c>
      <c r="X220" s="236">
        <f t="shared" si="22"/>
        <v>2061.3106445218746</v>
      </c>
      <c r="Y220" s="255">
        <f t="shared" si="23"/>
        <v>0.59528424159547522</v>
      </c>
    </row>
    <row r="221" spans="1:25" x14ac:dyDescent="0.25">
      <c r="A221" s="111">
        <f>Données!A221</f>
        <v>5758</v>
      </c>
      <c r="B221" s="119" t="str">
        <f>Données!B221</f>
        <v>La Praz</v>
      </c>
      <c r="C221" s="249">
        <f>Données!C221</f>
        <v>214</v>
      </c>
      <c r="D221" s="250">
        <f>Données!D221</f>
        <v>83</v>
      </c>
      <c r="E221" s="251">
        <f>Données!E221</f>
        <v>1</v>
      </c>
      <c r="F221" s="252">
        <f>Données!F221</f>
        <v>359630.44</v>
      </c>
      <c r="G221" s="252">
        <f>Données!G221</f>
        <v>44322.65</v>
      </c>
      <c r="H221" s="252">
        <f>Données!H221</f>
        <v>2797.1</v>
      </c>
      <c r="I221" s="252">
        <f>Données!I221</f>
        <v>2353</v>
      </c>
      <c r="J221" s="252">
        <f>Données!J221</f>
        <v>0</v>
      </c>
      <c r="K221" s="252">
        <f>Données!K221</f>
        <v>0</v>
      </c>
      <c r="L221" s="252">
        <f>Données!L221</f>
        <v>-3287.9</v>
      </c>
      <c r="M221" s="252">
        <f>Données!M221</f>
        <v>0</v>
      </c>
      <c r="N221" s="252">
        <f>Données!N221</f>
        <v>479.47</v>
      </c>
      <c r="O221" s="252">
        <f>Données!O221</f>
        <v>35098.199999999997</v>
      </c>
      <c r="P221" s="252">
        <f>Données!P221</f>
        <v>10130.61</v>
      </c>
      <c r="Q221" s="252">
        <f>Données!Q221</f>
        <v>0</v>
      </c>
      <c r="R221" s="252">
        <f>Données!R221</f>
        <v>-86.95</v>
      </c>
      <c r="S221" s="244"/>
      <c r="T221" s="236">
        <f t="shared" si="18"/>
        <v>329508.36038477055</v>
      </c>
      <c r="U221" s="253">
        <f t="shared" si="19"/>
        <v>35098.199999999997</v>
      </c>
      <c r="V221" s="253">
        <f t="shared" si="20"/>
        <v>10043.66</v>
      </c>
      <c r="W221" s="254">
        <f t="shared" si="21"/>
        <v>374650.22038477054</v>
      </c>
      <c r="X221" s="236">
        <f t="shared" si="22"/>
        <v>1750.7019644148156</v>
      </c>
      <c r="Y221" s="255">
        <f t="shared" si="23"/>
        <v>0.50558381091953986</v>
      </c>
    </row>
    <row r="222" spans="1:25" x14ac:dyDescent="0.25">
      <c r="A222" s="111">
        <f>Données!A222</f>
        <v>5759</v>
      </c>
      <c r="B222" s="119" t="str">
        <f>Données!B222</f>
        <v>Premier</v>
      </c>
      <c r="C222" s="249">
        <f>Données!C222</f>
        <v>233</v>
      </c>
      <c r="D222" s="250">
        <f>Données!D222</f>
        <v>79.5</v>
      </c>
      <c r="E222" s="251">
        <f>Données!E222</f>
        <v>1</v>
      </c>
      <c r="F222" s="252">
        <f>Données!F222</f>
        <v>330460.53999999998</v>
      </c>
      <c r="G222" s="252">
        <f>Données!G222</f>
        <v>46618.95</v>
      </c>
      <c r="H222" s="252">
        <f>Données!H222</f>
        <v>9036.9500000000007</v>
      </c>
      <c r="I222" s="252">
        <f>Données!I222</f>
        <v>1053.1500000000001</v>
      </c>
      <c r="J222" s="252">
        <f>Données!J222</f>
        <v>0</v>
      </c>
      <c r="K222" s="252">
        <f>Données!K222</f>
        <v>37.67</v>
      </c>
      <c r="L222" s="252">
        <f>Données!L222</f>
        <v>-10242.77</v>
      </c>
      <c r="M222" s="252">
        <f>Données!M222</f>
        <v>0</v>
      </c>
      <c r="N222" s="252">
        <f>Données!N222</f>
        <v>939.37</v>
      </c>
      <c r="O222" s="252">
        <f>Données!O222</f>
        <v>35561.699999999997</v>
      </c>
      <c r="P222" s="252">
        <f>Données!P222</f>
        <v>3356.5</v>
      </c>
      <c r="Q222" s="252">
        <f>Données!Q222</f>
        <v>289.45</v>
      </c>
      <c r="R222" s="252">
        <f>Données!R222</f>
        <v>-538.6</v>
      </c>
      <c r="S222" s="244"/>
      <c r="T222" s="236">
        <f t="shared" si="18"/>
        <v>319976.07625938475</v>
      </c>
      <c r="U222" s="253">
        <f t="shared" si="19"/>
        <v>35561.699999999997</v>
      </c>
      <c r="V222" s="253">
        <f t="shared" si="20"/>
        <v>3107.35</v>
      </c>
      <c r="W222" s="254">
        <f t="shared" si="21"/>
        <v>358645.12625938474</v>
      </c>
      <c r="X222" s="236">
        <f t="shared" si="22"/>
        <v>1539.2494689243981</v>
      </c>
      <c r="Y222" s="255">
        <f t="shared" si="23"/>
        <v>0.44451861497442274</v>
      </c>
    </row>
    <row r="223" spans="1:25" x14ac:dyDescent="0.25">
      <c r="A223" s="111">
        <f>Données!A223</f>
        <v>5760</v>
      </c>
      <c r="B223" s="119" t="str">
        <f>Données!B223</f>
        <v>Rances</v>
      </c>
      <c r="C223" s="249">
        <f>Données!C223</f>
        <v>513</v>
      </c>
      <c r="D223" s="250">
        <f>Données!D223</f>
        <v>76.5</v>
      </c>
      <c r="E223" s="251">
        <f>Données!E223</f>
        <v>1</v>
      </c>
      <c r="F223" s="252">
        <f>Données!F223</f>
        <v>681135.75</v>
      </c>
      <c r="G223" s="252">
        <f>Données!G223</f>
        <v>96599.49</v>
      </c>
      <c r="H223" s="252">
        <f>Données!H223</f>
        <v>9063.2999999999993</v>
      </c>
      <c r="I223" s="252">
        <f>Données!I223</f>
        <v>3495.3</v>
      </c>
      <c r="J223" s="252">
        <f>Données!J223</f>
        <v>0</v>
      </c>
      <c r="K223" s="252">
        <f>Données!K223</f>
        <v>8075.08</v>
      </c>
      <c r="L223" s="252">
        <f>Données!L223</f>
        <v>-30055.85</v>
      </c>
      <c r="M223" s="252">
        <f>Données!M223</f>
        <v>0</v>
      </c>
      <c r="N223" s="252">
        <f>Données!N223</f>
        <v>1169.19</v>
      </c>
      <c r="O223" s="252">
        <f>Données!O223</f>
        <v>87897.5</v>
      </c>
      <c r="P223" s="252">
        <f>Données!P223</f>
        <v>8386.27</v>
      </c>
      <c r="Q223" s="252">
        <f>Données!Q223</f>
        <v>0</v>
      </c>
      <c r="R223" s="252">
        <f>Données!R223</f>
        <v>-1852.45</v>
      </c>
      <c r="S223" s="244"/>
      <c r="T223" s="236">
        <f t="shared" si="18"/>
        <v>677080.78016779071</v>
      </c>
      <c r="U223" s="253">
        <f t="shared" si="19"/>
        <v>87897.5</v>
      </c>
      <c r="V223" s="253">
        <f t="shared" si="20"/>
        <v>6533.8200000000006</v>
      </c>
      <c r="W223" s="254">
        <f t="shared" si="21"/>
        <v>771512.10016779066</v>
      </c>
      <c r="X223" s="236">
        <f t="shared" si="22"/>
        <v>1503.9222225492995</v>
      </c>
      <c r="Y223" s="255">
        <f t="shared" si="23"/>
        <v>0.4343164879335783</v>
      </c>
    </row>
    <row r="224" spans="1:25" x14ac:dyDescent="0.25">
      <c r="A224" s="111">
        <f>Données!A224</f>
        <v>5761</v>
      </c>
      <c r="B224" s="119" t="str">
        <f>Données!B224</f>
        <v>Romainmôtier-Envy</v>
      </c>
      <c r="C224" s="249">
        <f>Données!C224</f>
        <v>579</v>
      </c>
      <c r="D224" s="250">
        <f>Données!D224</f>
        <v>81</v>
      </c>
      <c r="E224" s="251">
        <f>Données!E224</f>
        <v>1.1000000000000001</v>
      </c>
      <c r="F224" s="252">
        <f>Données!F224</f>
        <v>852286.25</v>
      </c>
      <c r="G224" s="252">
        <f>Données!G224</f>
        <v>151121.44</v>
      </c>
      <c r="H224" s="252">
        <f>Données!H224</f>
        <v>8469.65</v>
      </c>
      <c r="I224" s="252">
        <f>Données!I224</f>
        <v>2588.5</v>
      </c>
      <c r="J224" s="252">
        <f>Données!J224</f>
        <v>0</v>
      </c>
      <c r="K224" s="252">
        <f>Données!K224</f>
        <v>0</v>
      </c>
      <c r="L224" s="252">
        <f>Données!L224</f>
        <v>-5039.37</v>
      </c>
      <c r="M224" s="252">
        <f>Données!M224</f>
        <v>0</v>
      </c>
      <c r="N224" s="252">
        <f>Données!N224</f>
        <v>1029.5</v>
      </c>
      <c r="O224" s="252">
        <f>Données!O224</f>
        <v>102235.95</v>
      </c>
      <c r="P224" s="252">
        <f>Données!P224</f>
        <v>9035.32</v>
      </c>
      <c r="Q224" s="252">
        <f>Données!Q224</f>
        <v>5328.6</v>
      </c>
      <c r="R224" s="252">
        <f>Données!R224</f>
        <v>-41.1</v>
      </c>
      <c r="S224" s="244"/>
      <c r="T224" s="236">
        <f t="shared" si="18"/>
        <v>839722.29589929641</v>
      </c>
      <c r="U224" s="253">
        <f t="shared" si="19"/>
        <v>92941.772727272721</v>
      </c>
      <c r="V224" s="253">
        <f t="shared" si="20"/>
        <v>14322.82</v>
      </c>
      <c r="W224" s="254">
        <f t="shared" si="21"/>
        <v>946986.88862656907</v>
      </c>
      <c r="X224" s="236">
        <f t="shared" si="22"/>
        <v>1635.5559389059915</v>
      </c>
      <c r="Y224" s="255">
        <f t="shared" si="23"/>
        <v>0.47233088290991776</v>
      </c>
    </row>
    <row r="225" spans="1:25" x14ac:dyDescent="0.25">
      <c r="A225" s="111">
        <f>Données!A225</f>
        <v>5762</v>
      </c>
      <c r="B225" s="119" t="str">
        <f>Données!B225</f>
        <v>Sergey</v>
      </c>
      <c r="C225" s="249">
        <f>Données!C225</f>
        <v>165</v>
      </c>
      <c r="D225" s="250">
        <f>Données!D225</f>
        <v>76</v>
      </c>
      <c r="E225" s="251">
        <f>Données!E225</f>
        <v>1</v>
      </c>
      <c r="F225" s="252">
        <f>Données!F225</f>
        <v>294664.75</v>
      </c>
      <c r="G225" s="252">
        <f>Données!G225</f>
        <v>37809.49</v>
      </c>
      <c r="H225" s="252">
        <f>Données!H225</f>
        <v>20326.3</v>
      </c>
      <c r="I225" s="252">
        <f>Données!I225</f>
        <v>1009.4</v>
      </c>
      <c r="J225" s="252">
        <f>Données!J225</f>
        <v>0</v>
      </c>
      <c r="K225" s="252">
        <f>Données!K225</f>
        <v>2481.52</v>
      </c>
      <c r="L225" s="252">
        <f>Données!L225</f>
        <v>-2537.58</v>
      </c>
      <c r="M225" s="252">
        <f>Données!M225</f>
        <v>0</v>
      </c>
      <c r="N225" s="252">
        <f>Données!N225</f>
        <v>1986.32</v>
      </c>
      <c r="O225" s="252">
        <f>Données!O225</f>
        <v>22877.65</v>
      </c>
      <c r="P225" s="252">
        <f>Données!P225</f>
        <v>3833.87</v>
      </c>
      <c r="Q225" s="252">
        <f>Données!Q225</f>
        <v>-41.5</v>
      </c>
      <c r="R225" s="252">
        <f>Données!R225</f>
        <v>0</v>
      </c>
      <c r="S225" s="244"/>
      <c r="T225" s="236">
        <f t="shared" si="18"/>
        <v>315081.32408180967</v>
      </c>
      <c r="U225" s="253">
        <f t="shared" si="19"/>
        <v>22877.65</v>
      </c>
      <c r="V225" s="253">
        <f t="shared" si="20"/>
        <v>3792.37</v>
      </c>
      <c r="W225" s="254">
        <f t="shared" si="21"/>
        <v>341751.34408180969</v>
      </c>
      <c r="X225" s="236">
        <f t="shared" si="22"/>
        <v>2071.2202671624827</v>
      </c>
      <c r="Y225" s="255">
        <f t="shared" si="23"/>
        <v>0.59814603354022122</v>
      </c>
    </row>
    <row r="226" spans="1:25" x14ac:dyDescent="0.25">
      <c r="A226" s="111">
        <f>Données!A226</f>
        <v>5763</v>
      </c>
      <c r="B226" s="119" t="str">
        <f>Données!B226</f>
        <v>Valeyres-sous-Rances</v>
      </c>
      <c r="C226" s="249">
        <f>Données!C226</f>
        <v>573</v>
      </c>
      <c r="D226" s="250">
        <f>Données!D226</f>
        <v>71</v>
      </c>
      <c r="E226" s="251">
        <f>Données!E226</f>
        <v>1</v>
      </c>
      <c r="F226" s="252">
        <f>Données!F226</f>
        <v>788822.4</v>
      </c>
      <c r="G226" s="252">
        <f>Données!G226</f>
        <v>212617.94</v>
      </c>
      <c r="H226" s="252">
        <f>Données!H226</f>
        <v>8603.25</v>
      </c>
      <c r="I226" s="252">
        <f>Données!I226</f>
        <v>8800.7000000000007</v>
      </c>
      <c r="J226" s="252">
        <f>Données!J226</f>
        <v>0</v>
      </c>
      <c r="K226" s="252">
        <f>Données!K226</f>
        <v>2159.56</v>
      </c>
      <c r="L226" s="252">
        <f>Données!L226</f>
        <v>-3676.31</v>
      </c>
      <c r="M226" s="252">
        <f>Données!M226</f>
        <v>0</v>
      </c>
      <c r="N226" s="252">
        <f>Données!N226</f>
        <v>1620.28</v>
      </c>
      <c r="O226" s="252">
        <f>Données!O226</f>
        <v>97874.9</v>
      </c>
      <c r="P226" s="252">
        <f>Données!P226</f>
        <v>9754.7999999999993</v>
      </c>
      <c r="Q226" s="252">
        <f>Données!Q226</f>
        <v>4579.6499999999996</v>
      </c>
      <c r="R226" s="252">
        <f>Données!R226</f>
        <v>-16.149999999999999</v>
      </c>
      <c r="S226" s="244"/>
      <c r="T226" s="236">
        <f t="shared" si="18"/>
        <v>966043.99449279939</v>
      </c>
      <c r="U226" s="253">
        <f t="shared" si="19"/>
        <v>97874.9</v>
      </c>
      <c r="V226" s="253">
        <f t="shared" si="20"/>
        <v>14318.3</v>
      </c>
      <c r="W226" s="254">
        <f t="shared" si="21"/>
        <v>1078237.1944927995</v>
      </c>
      <c r="X226" s="236">
        <f t="shared" si="22"/>
        <v>1881.7403045249555</v>
      </c>
      <c r="Y226" s="255">
        <f t="shared" si="23"/>
        <v>0.54342626766893876</v>
      </c>
    </row>
    <row r="227" spans="1:25" x14ac:dyDescent="0.25">
      <c r="A227" s="111">
        <f>Données!A227</f>
        <v>5764</v>
      </c>
      <c r="B227" s="119" t="str">
        <f>Données!B227</f>
        <v>Vallorbe</v>
      </c>
      <c r="C227" s="249">
        <f>Données!C227</f>
        <v>4434</v>
      </c>
      <c r="D227" s="250">
        <f>Données!D227</f>
        <v>70</v>
      </c>
      <c r="E227" s="251">
        <f>Données!E227</f>
        <v>1</v>
      </c>
      <c r="F227" s="252">
        <f>Données!F227</f>
        <v>4826490.8600000003</v>
      </c>
      <c r="G227" s="252">
        <f>Données!G227</f>
        <v>566265.31000000006</v>
      </c>
      <c r="H227" s="252">
        <f>Données!H227</f>
        <v>388559.65</v>
      </c>
      <c r="I227" s="252">
        <f>Données!I227</f>
        <v>64696.4</v>
      </c>
      <c r="J227" s="252">
        <f>Données!J227</f>
        <v>0</v>
      </c>
      <c r="K227" s="252">
        <f>Données!K227</f>
        <v>80698.33</v>
      </c>
      <c r="L227" s="252">
        <f>Données!L227</f>
        <v>-191435.79</v>
      </c>
      <c r="M227" s="252">
        <f>Données!M227</f>
        <v>0</v>
      </c>
      <c r="N227" s="252">
        <f>Données!N227</f>
        <v>42197.5</v>
      </c>
      <c r="O227" s="252">
        <f>Données!O227</f>
        <v>613939.9</v>
      </c>
      <c r="P227" s="252">
        <f>Données!P227</f>
        <v>415143</v>
      </c>
      <c r="Q227" s="252">
        <f>Données!Q227</f>
        <v>67751.850000000006</v>
      </c>
      <c r="R227" s="252">
        <f>Données!R227</f>
        <v>-924.45</v>
      </c>
      <c r="S227" s="244"/>
      <c r="T227" s="236">
        <f t="shared" si="18"/>
        <v>5555755.6700098682</v>
      </c>
      <c r="U227" s="253">
        <f t="shared" si="19"/>
        <v>613939.9</v>
      </c>
      <c r="V227" s="253">
        <f t="shared" si="20"/>
        <v>481970.39999999997</v>
      </c>
      <c r="W227" s="254">
        <f t="shared" si="21"/>
        <v>6651665.970009869</v>
      </c>
      <c r="X227" s="236">
        <f t="shared" si="22"/>
        <v>1500.1501962133218</v>
      </c>
      <c r="Y227" s="255">
        <f t="shared" si="23"/>
        <v>0.43322716748464063</v>
      </c>
    </row>
    <row r="228" spans="1:25" x14ac:dyDescent="0.25">
      <c r="A228" s="111">
        <f>Données!A228</f>
        <v>5765</v>
      </c>
      <c r="B228" s="119" t="str">
        <f>Données!B228</f>
        <v>Vaulion</v>
      </c>
      <c r="C228" s="249">
        <f>Données!C228</f>
        <v>500</v>
      </c>
      <c r="D228" s="250">
        <f>Données!D228</f>
        <v>81</v>
      </c>
      <c r="E228" s="251">
        <f>Données!E228</f>
        <v>0.5</v>
      </c>
      <c r="F228" s="252">
        <f>Données!F228</f>
        <v>594170.13</v>
      </c>
      <c r="G228" s="252">
        <f>Données!G228</f>
        <v>85692.43</v>
      </c>
      <c r="H228" s="252">
        <f>Données!H228</f>
        <v>16818.8</v>
      </c>
      <c r="I228" s="252">
        <f>Données!I228</f>
        <v>824.25</v>
      </c>
      <c r="J228" s="252">
        <f>Données!J228</f>
        <v>0</v>
      </c>
      <c r="K228" s="252">
        <f>Données!K228</f>
        <v>5432.36</v>
      </c>
      <c r="L228" s="252">
        <f>Données!L228</f>
        <v>-13081.53</v>
      </c>
      <c r="M228" s="252">
        <f>Données!M228</f>
        <v>0</v>
      </c>
      <c r="N228" s="252">
        <f>Données!N228</f>
        <v>1642.54</v>
      </c>
      <c r="O228" s="252">
        <f>Données!O228</f>
        <v>35581.35</v>
      </c>
      <c r="P228" s="252">
        <f>Données!P228</f>
        <v>30245.61</v>
      </c>
      <c r="Q228" s="252">
        <f>Données!Q228</f>
        <v>0</v>
      </c>
      <c r="R228" s="252">
        <f>Données!R228</f>
        <v>-89</v>
      </c>
      <c r="S228" s="244"/>
      <c r="T228" s="236">
        <f t="shared" si="18"/>
        <v>574658.49907108943</v>
      </c>
      <c r="U228" s="253">
        <f t="shared" si="19"/>
        <v>71162.7</v>
      </c>
      <c r="V228" s="253">
        <f t="shared" si="20"/>
        <v>30156.61</v>
      </c>
      <c r="W228" s="254">
        <f t="shared" si="21"/>
        <v>675977.80907108937</v>
      </c>
      <c r="X228" s="236">
        <f t="shared" si="22"/>
        <v>1351.9556181421788</v>
      </c>
      <c r="Y228" s="255">
        <f t="shared" si="23"/>
        <v>0.39043017458592877</v>
      </c>
    </row>
    <row r="229" spans="1:25" x14ac:dyDescent="0.25">
      <c r="A229" s="111">
        <f>Données!A229</f>
        <v>5766</v>
      </c>
      <c r="B229" s="119" t="str">
        <f>Données!B229</f>
        <v>Vuiteboeuf</v>
      </c>
      <c r="C229" s="249">
        <f>Données!C229</f>
        <v>616</v>
      </c>
      <c r="D229" s="250">
        <f>Données!D229</f>
        <v>75</v>
      </c>
      <c r="E229" s="251">
        <f>Données!E229</f>
        <v>0.7</v>
      </c>
      <c r="F229" s="252">
        <f>Données!F229</f>
        <v>869022.51</v>
      </c>
      <c r="G229" s="252">
        <f>Données!G229</f>
        <v>120705.65</v>
      </c>
      <c r="H229" s="252">
        <f>Données!H229</f>
        <v>-9159.75</v>
      </c>
      <c r="I229" s="252">
        <f>Données!I229</f>
        <v>3484.45</v>
      </c>
      <c r="J229" s="252">
        <f>Données!J229</f>
        <v>0</v>
      </c>
      <c r="K229" s="252">
        <f>Données!K229</f>
        <v>4890</v>
      </c>
      <c r="L229" s="252">
        <f>Données!L229</f>
        <v>-10415.11</v>
      </c>
      <c r="M229" s="252">
        <f>Données!M229</f>
        <v>0</v>
      </c>
      <c r="N229" s="252">
        <f>Données!N229</f>
        <v>-528.36</v>
      </c>
      <c r="O229" s="252">
        <f>Données!O229</f>
        <v>70762.95</v>
      </c>
      <c r="P229" s="252">
        <f>Données!P229</f>
        <v>30512.35</v>
      </c>
      <c r="Q229" s="252">
        <f>Données!Q229</f>
        <v>13709.8</v>
      </c>
      <c r="R229" s="252">
        <f>Données!R229</f>
        <v>-71.2</v>
      </c>
      <c r="S229" s="244"/>
      <c r="T229" s="236">
        <f t="shared" si="18"/>
        <v>877769.7900202662</v>
      </c>
      <c r="U229" s="253">
        <f t="shared" si="19"/>
        <v>101089.92857142858</v>
      </c>
      <c r="V229" s="253">
        <f t="shared" si="20"/>
        <v>44150.95</v>
      </c>
      <c r="W229" s="254">
        <f t="shared" si="21"/>
        <v>1023010.6685916947</v>
      </c>
      <c r="X229" s="236">
        <f t="shared" si="22"/>
        <v>1660.7316048566472</v>
      </c>
      <c r="Y229" s="255">
        <f t="shared" si="23"/>
        <v>0.4796013432124081</v>
      </c>
    </row>
    <row r="230" spans="1:25" x14ac:dyDescent="0.25">
      <c r="A230" s="111">
        <f>Données!A230</f>
        <v>5785</v>
      </c>
      <c r="B230" s="119" t="str">
        <f>Données!B230</f>
        <v>Corcelles-le-Jorat</v>
      </c>
      <c r="C230" s="249">
        <f>Données!C230</f>
        <v>495</v>
      </c>
      <c r="D230" s="250">
        <f>Données!D230</f>
        <v>75</v>
      </c>
      <c r="E230" s="251">
        <f>Données!E230</f>
        <v>1</v>
      </c>
      <c r="F230" s="252">
        <f>Données!F230</f>
        <v>1050240.33</v>
      </c>
      <c r="G230" s="252">
        <f>Données!G230</f>
        <v>210207.62</v>
      </c>
      <c r="H230" s="252">
        <f>Données!H230</f>
        <v>-16137.4</v>
      </c>
      <c r="I230" s="252">
        <f>Données!I230</f>
        <v>2926.1</v>
      </c>
      <c r="J230" s="252">
        <f>Données!J230</f>
        <v>0</v>
      </c>
      <c r="K230" s="252">
        <f>Données!K230</f>
        <v>623.55999999999995</v>
      </c>
      <c r="L230" s="252">
        <f>Données!L230</f>
        <v>-9955.7900000000009</v>
      </c>
      <c r="M230" s="252">
        <f>Données!M230</f>
        <v>0</v>
      </c>
      <c r="N230" s="252">
        <f>Données!N230</f>
        <v>-1229.95</v>
      </c>
      <c r="O230" s="252">
        <f>Données!O230</f>
        <v>91544.8</v>
      </c>
      <c r="P230" s="252">
        <f>Données!P230</f>
        <v>30897.45</v>
      </c>
      <c r="Q230" s="252">
        <f>Données!Q230</f>
        <v>1393.6</v>
      </c>
      <c r="R230" s="252">
        <f>Données!R230</f>
        <v>-7911.2</v>
      </c>
      <c r="S230" s="244"/>
      <c r="T230" s="236">
        <f t="shared" si="18"/>
        <v>1109934.7309974541</v>
      </c>
      <c r="U230" s="253">
        <f t="shared" si="19"/>
        <v>91544.8</v>
      </c>
      <c r="V230" s="253">
        <f t="shared" si="20"/>
        <v>24379.85</v>
      </c>
      <c r="W230" s="254">
        <f t="shared" si="21"/>
        <v>1225859.3809974543</v>
      </c>
      <c r="X230" s="236">
        <f t="shared" si="22"/>
        <v>2476.4835979746549</v>
      </c>
      <c r="Y230" s="255">
        <f t="shared" si="23"/>
        <v>0.71518170459257624</v>
      </c>
    </row>
    <row r="231" spans="1:25" x14ac:dyDescent="0.25">
      <c r="A231" s="111">
        <f>Données!A231</f>
        <v>5790</v>
      </c>
      <c r="B231" s="119" t="str">
        <f>Données!B231</f>
        <v>Maracon</v>
      </c>
      <c r="C231" s="249">
        <f>Données!C231</f>
        <v>565</v>
      </c>
      <c r="D231" s="250">
        <f>Données!D231</f>
        <v>74.5</v>
      </c>
      <c r="E231" s="251">
        <f>Données!E231</f>
        <v>1</v>
      </c>
      <c r="F231" s="252">
        <f>Données!F231</f>
        <v>1033696.4</v>
      </c>
      <c r="G231" s="252">
        <f>Données!G231</f>
        <v>170937.82</v>
      </c>
      <c r="H231" s="252">
        <f>Données!H231</f>
        <v>18240.599999999999</v>
      </c>
      <c r="I231" s="252">
        <f>Données!I231</f>
        <v>871.05</v>
      </c>
      <c r="J231" s="252">
        <f>Données!J231</f>
        <v>0</v>
      </c>
      <c r="K231" s="252">
        <f>Données!K231</f>
        <v>1037.67</v>
      </c>
      <c r="L231" s="252">
        <f>Données!L231</f>
        <v>-5023.8999999999996</v>
      </c>
      <c r="M231" s="252">
        <f>Données!M231</f>
        <v>0</v>
      </c>
      <c r="N231" s="252">
        <f>Données!N231</f>
        <v>1779.27</v>
      </c>
      <c r="O231" s="252">
        <f>Données!O231</f>
        <v>104687.75</v>
      </c>
      <c r="P231" s="252">
        <f>Données!P231</f>
        <v>1427.19</v>
      </c>
      <c r="Q231" s="252">
        <f>Données!Q231</f>
        <v>1468.6</v>
      </c>
      <c r="R231" s="252">
        <f>Données!R231</f>
        <v>-2235.75</v>
      </c>
      <c r="S231" s="244"/>
      <c r="T231" s="236">
        <f t="shared" si="18"/>
        <v>1103708.384429927</v>
      </c>
      <c r="U231" s="253">
        <f t="shared" si="19"/>
        <v>104687.75</v>
      </c>
      <c r="V231" s="253">
        <f t="shared" si="20"/>
        <v>660.04</v>
      </c>
      <c r="W231" s="254">
        <f t="shared" si="21"/>
        <v>1209056.174429927</v>
      </c>
      <c r="X231" s="236">
        <f t="shared" si="22"/>
        <v>2139.9224326193398</v>
      </c>
      <c r="Y231" s="255">
        <f t="shared" si="23"/>
        <v>0.61798647659456651</v>
      </c>
    </row>
    <row r="232" spans="1:25" x14ac:dyDescent="0.25">
      <c r="A232" s="111">
        <f>Données!A232</f>
        <v>5792</v>
      </c>
      <c r="B232" s="119" t="str">
        <f>Données!B232</f>
        <v>Montpreveyres</v>
      </c>
      <c r="C232" s="249">
        <f>Données!C232</f>
        <v>670</v>
      </c>
      <c r="D232" s="250">
        <f>Données!D232</f>
        <v>74.5</v>
      </c>
      <c r="E232" s="251">
        <f>Données!E232</f>
        <v>1</v>
      </c>
      <c r="F232" s="252">
        <f>Données!F232</f>
        <v>1284287.3899999999</v>
      </c>
      <c r="G232" s="252">
        <f>Données!G232</f>
        <v>218345</v>
      </c>
      <c r="H232" s="252">
        <f>Données!H232</f>
        <v>16291.4</v>
      </c>
      <c r="I232" s="252">
        <f>Données!I232</f>
        <v>2689</v>
      </c>
      <c r="J232" s="252">
        <f>Données!J232</f>
        <v>0</v>
      </c>
      <c r="K232" s="252">
        <f>Données!K232</f>
        <v>0</v>
      </c>
      <c r="L232" s="252">
        <f>Données!L232</f>
        <v>-2231.5</v>
      </c>
      <c r="M232" s="252">
        <f>Données!M232</f>
        <v>0</v>
      </c>
      <c r="N232" s="252">
        <f>Données!N232</f>
        <v>1767.05</v>
      </c>
      <c r="O232" s="252">
        <f>Données!O232</f>
        <v>124957.9</v>
      </c>
      <c r="P232" s="252">
        <f>Données!P232</f>
        <v>31672.92</v>
      </c>
      <c r="Q232" s="252">
        <f>Données!Q232</f>
        <v>1716.5</v>
      </c>
      <c r="R232" s="252">
        <f>Données!R232</f>
        <v>-132.75</v>
      </c>
      <c r="S232" s="244"/>
      <c r="T232" s="236">
        <f t="shared" si="18"/>
        <v>1374417.2724057268</v>
      </c>
      <c r="U232" s="253">
        <f t="shared" si="19"/>
        <v>124957.9</v>
      </c>
      <c r="V232" s="253">
        <f t="shared" si="20"/>
        <v>33256.67</v>
      </c>
      <c r="W232" s="254">
        <f t="shared" si="21"/>
        <v>1532631.8424057267</v>
      </c>
      <c r="X232" s="236">
        <f t="shared" si="22"/>
        <v>2287.5102125458607</v>
      </c>
      <c r="Y232" s="255">
        <f t="shared" si="23"/>
        <v>0.66060823274558922</v>
      </c>
    </row>
    <row r="233" spans="1:25" x14ac:dyDescent="0.25">
      <c r="A233" s="111">
        <f>Données!A233</f>
        <v>5798</v>
      </c>
      <c r="B233" s="119" t="str">
        <f>Données!B233</f>
        <v>Ropraz</v>
      </c>
      <c r="C233" s="249">
        <f>Données!C233</f>
        <v>535</v>
      </c>
      <c r="D233" s="250">
        <f>Données!D233</f>
        <v>77.5</v>
      </c>
      <c r="E233" s="251">
        <f>Données!E233</f>
        <v>1</v>
      </c>
      <c r="F233" s="252">
        <f>Données!F233</f>
        <v>994303.78</v>
      </c>
      <c r="G233" s="252">
        <f>Données!G233</f>
        <v>106873.08</v>
      </c>
      <c r="H233" s="252">
        <f>Données!H233</f>
        <v>17495.45</v>
      </c>
      <c r="I233" s="252">
        <f>Données!I233</f>
        <v>4326.8500000000004</v>
      </c>
      <c r="J233" s="252">
        <f>Données!J233</f>
        <v>0</v>
      </c>
      <c r="K233" s="252">
        <f>Données!K233</f>
        <v>2598.54</v>
      </c>
      <c r="L233" s="252">
        <f>Données!L233</f>
        <v>-15776.86</v>
      </c>
      <c r="M233" s="252">
        <f>Données!M233</f>
        <v>0</v>
      </c>
      <c r="N233" s="252">
        <f>Données!N233</f>
        <v>2031.63</v>
      </c>
      <c r="O233" s="252">
        <f>Données!O233</f>
        <v>104038.3</v>
      </c>
      <c r="P233" s="252">
        <f>Données!P233</f>
        <v>39089.760000000002</v>
      </c>
      <c r="Q233" s="252">
        <f>Données!Q233</f>
        <v>11231.3</v>
      </c>
      <c r="R233" s="252">
        <f>Données!R233</f>
        <v>-298</v>
      </c>
      <c r="S233" s="244"/>
      <c r="T233" s="236">
        <f t="shared" si="18"/>
        <v>965714.5436844267</v>
      </c>
      <c r="U233" s="253">
        <f t="shared" si="19"/>
        <v>104038.3</v>
      </c>
      <c r="V233" s="253">
        <f t="shared" si="20"/>
        <v>50023.06</v>
      </c>
      <c r="W233" s="254">
        <f t="shared" si="21"/>
        <v>1119775.9036844268</v>
      </c>
      <c r="X233" s="236">
        <f t="shared" si="22"/>
        <v>2093.0390723073397</v>
      </c>
      <c r="Y233" s="255">
        <f t="shared" si="23"/>
        <v>0.60444706871300968</v>
      </c>
    </row>
    <row r="234" spans="1:25" x14ac:dyDescent="0.25">
      <c r="A234" s="111">
        <f>Données!A234</f>
        <v>5799</v>
      </c>
      <c r="B234" s="119" t="str">
        <f>Données!B234</f>
        <v>Servion</v>
      </c>
      <c r="C234" s="249">
        <f>Données!C234</f>
        <v>2241</v>
      </c>
      <c r="D234" s="250">
        <f>Données!D234</f>
        <v>69</v>
      </c>
      <c r="E234" s="251">
        <f>Données!E234</f>
        <v>1</v>
      </c>
      <c r="F234" s="252">
        <f>Données!F234</f>
        <v>4407966.7699999996</v>
      </c>
      <c r="G234" s="252">
        <f>Données!G234</f>
        <v>629881.36</v>
      </c>
      <c r="H234" s="252">
        <f>Données!H234</f>
        <v>83301.149999999994</v>
      </c>
      <c r="I234" s="252">
        <f>Données!I234</f>
        <v>8697.2999999999993</v>
      </c>
      <c r="J234" s="252">
        <f>Données!J234</f>
        <v>0</v>
      </c>
      <c r="K234" s="252">
        <f>Données!K234</f>
        <v>3281.56</v>
      </c>
      <c r="L234" s="252">
        <f>Données!L234</f>
        <v>-132319.57999999999</v>
      </c>
      <c r="M234" s="252">
        <f>Données!M234</f>
        <v>0</v>
      </c>
      <c r="N234" s="252">
        <f>Données!N234</f>
        <v>8564.93</v>
      </c>
      <c r="O234" s="252">
        <f>Données!O234</f>
        <v>469101.65</v>
      </c>
      <c r="P234" s="252">
        <f>Données!P234</f>
        <v>83966.21</v>
      </c>
      <c r="Q234" s="252">
        <f>Données!Q234</f>
        <v>18072.099999999999</v>
      </c>
      <c r="R234" s="252">
        <f>Données!R234</f>
        <v>-761.91</v>
      </c>
      <c r="S234" s="244"/>
      <c r="T234" s="236">
        <f t="shared" si="18"/>
        <v>4886947.0292134117</v>
      </c>
      <c r="U234" s="253">
        <f t="shared" si="19"/>
        <v>469101.65</v>
      </c>
      <c r="V234" s="253">
        <f t="shared" si="20"/>
        <v>101276.4</v>
      </c>
      <c r="W234" s="254">
        <f t="shared" si="21"/>
        <v>5457325.0792134125</v>
      </c>
      <c r="X234" s="236">
        <f t="shared" si="22"/>
        <v>2435.2186877346776</v>
      </c>
      <c r="Y234" s="255">
        <f t="shared" si="23"/>
        <v>0.70326484438424608</v>
      </c>
    </row>
    <row r="235" spans="1:25" x14ac:dyDescent="0.25">
      <c r="A235" s="111">
        <f>Données!A235</f>
        <v>5803</v>
      </c>
      <c r="B235" s="119" t="str">
        <f>Données!B235</f>
        <v>Vulliens</v>
      </c>
      <c r="C235" s="249">
        <f>Données!C235</f>
        <v>630</v>
      </c>
      <c r="D235" s="250">
        <f>Données!D235</f>
        <v>74</v>
      </c>
      <c r="E235" s="251">
        <f>Données!E235</f>
        <v>1</v>
      </c>
      <c r="F235" s="252">
        <f>Données!F235</f>
        <v>1167011.3799999999</v>
      </c>
      <c r="G235" s="252">
        <f>Données!G235</f>
        <v>186143.12</v>
      </c>
      <c r="H235" s="252">
        <f>Données!H235</f>
        <v>8586.1</v>
      </c>
      <c r="I235" s="252">
        <f>Données!I235</f>
        <v>3522.75</v>
      </c>
      <c r="J235" s="252">
        <f>Données!J235</f>
        <v>0</v>
      </c>
      <c r="K235" s="252">
        <f>Données!K235</f>
        <v>10051.6</v>
      </c>
      <c r="L235" s="252">
        <f>Données!L235</f>
        <v>-37408.51</v>
      </c>
      <c r="M235" s="252">
        <f>Données!M235</f>
        <v>0</v>
      </c>
      <c r="N235" s="252">
        <f>Données!N235</f>
        <v>1127.32</v>
      </c>
      <c r="O235" s="252">
        <f>Données!O235</f>
        <v>115601</v>
      </c>
      <c r="P235" s="252">
        <f>Données!P235</f>
        <v>26087.58</v>
      </c>
      <c r="Q235" s="252">
        <f>Données!Q235</f>
        <v>0</v>
      </c>
      <c r="R235" s="252">
        <f>Données!R235</f>
        <v>-877.75</v>
      </c>
      <c r="S235" s="244"/>
      <c r="T235" s="236">
        <f t="shared" si="18"/>
        <v>1218044.3909027993</v>
      </c>
      <c r="U235" s="253">
        <f t="shared" si="19"/>
        <v>115601</v>
      </c>
      <c r="V235" s="253">
        <f t="shared" si="20"/>
        <v>25209.83</v>
      </c>
      <c r="W235" s="254">
        <f t="shared" si="21"/>
        <v>1358855.2209027994</v>
      </c>
      <c r="X235" s="236">
        <f t="shared" si="22"/>
        <v>2156.9130490520624</v>
      </c>
      <c r="Y235" s="255">
        <f t="shared" si="23"/>
        <v>0.62289318303605912</v>
      </c>
    </row>
    <row r="236" spans="1:25" x14ac:dyDescent="0.25">
      <c r="A236" s="111">
        <f>Données!A236</f>
        <v>5804</v>
      </c>
      <c r="B236" s="119" t="str">
        <f>Données!B236</f>
        <v>Jorat-Menthue</v>
      </c>
      <c r="C236" s="249">
        <f>Données!C236</f>
        <v>1564</v>
      </c>
      <c r="D236" s="250">
        <f>Données!D236</f>
        <v>70.5</v>
      </c>
      <c r="E236" s="251">
        <f>Données!E236</f>
        <v>1</v>
      </c>
      <c r="F236" s="252">
        <f>Données!F236</f>
        <v>2682856.85</v>
      </c>
      <c r="G236" s="252">
        <f>Données!G236</f>
        <v>406891.48</v>
      </c>
      <c r="H236" s="252">
        <f>Données!H236</f>
        <v>46254.15</v>
      </c>
      <c r="I236" s="252">
        <f>Données!I236</f>
        <v>2708.2</v>
      </c>
      <c r="J236" s="252">
        <f>Données!J236</f>
        <v>0</v>
      </c>
      <c r="K236" s="252">
        <f>Données!K236</f>
        <v>4569.2299999999996</v>
      </c>
      <c r="L236" s="252">
        <f>Données!L236</f>
        <v>-37349.620000000003</v>
      </c>
      <c r="M236" s="252">
        <f>Données!M236</f>
        <v>0</v>
      </c>
      <c r="N236" s="252">
        <f>Données!N236</f>
        <v>4558.33</v>
      </c>
      <c r="O236" s="252">
        <f>Données!O236</f>
        <v>291767.15000000002</v>
      </c>
      <c r="P236" s="252">
        <f>Données!P236</f>
        <v>49283.86</v>
      </c>
      <c r="Q236" s="252">
        <f>Données!Q236</f>
        <v>4043.95</v>
      </c>
      <c r="R236" s="252">
        <f>Données!R236</f>
        <v>-4010</v>
      </c>
      <c r="S236" s="244"/>
      <c r="T236" s="236">
        <f t="shared" si="18"/>
        <v>2969906.7199477232</v>
      </c>
      <c r="U236" s="253">
        <f t="shared" si="19"/>
        <v>291767.15000000002</v>
      </c>
      <c r="V236" s="253">
        <f t="shared" si="20"/>
        <v>49317.81</v>
      </c>
      <c r="W236" s="254">
        <f t="shared" si="21"/>
        <v>3310991.6799477232</v>
      </c>
      <c r="X236" s="236">
        <f t="shared" si="22"/>
        <v>2117.0023529077512</v>
      </c>
      <c r="Y236" s="255">
        <f t="shared" si="23"/>
        <v>0.61136740522622079</v>
      </c>
    </row>
    <row r="237" spans="1:25" x14ac:dyDescent="0.25">
      <c r="A237" s="111">
        <f>Données!A237</f>
        <v>5805</v>
      </c>
      <c r="B237" s="119" t="str">
        <f>Données!B237</f>
        <v>Oron</v>
      </c>
      <c r="C237" s="249">
        <f>Données!C237</f>
        <v>6451</v>
      </c>
      <c r="D237" s="250">
        <f>Données!D237</f>
        <v>69</v>
      </c>
      <c r="E237" s="251">
        <f>Données!E237</f>
        <v>1.1000000000000001</v>
      </c>
      <c r="F237" s="252">
        <f>Données!F237</f>
        <v>9439407.0299999993</v>
      </c>
      <c r="G237" s="252">
        <f>Données!G237</f>
        <v>1256246.43</v>
      </c>
      <c r="H237" s="252">
        <f>Données!H237</f>
        <v>236400</v>
      </c>
      <c r="I237" s="252">
        <f>Données!I237</f>
        <v>22289.3</v>
      </c>
      <c r="J237" s="252">
        <f>Données!J237</f>
        <v>41205.050000000003</v>
      </c>
      <c r="K237" s="252">
        <f>Données!K237</f>
        <v>77519.009999999995</v>
      </c>
      <c r="L237" s="252">
        <f>Données!L237</f>
        <v>-226997.49</v>
      </c>
      <c r="M237" s="252">
        <f>Données!M237</f>
        <v>0</v>
      </c>
      <c r="N237" s="252">
        <f>Données!N237</f>
        <v>24083.61</v>
      </c>
      <c r="O237" s="252">
        <f>Données!O237</f>
        <v>1398905.2</v>
      </c>
      <c r="P237" s="252">
        <f>Données!P237</f>
        <v>268234.52</v>
      </c>
      <c r="Q237" s="252">
        <f>Données!Q237</f>
        <v>81623.100000000006</v>
      </c>
      <c r="R237" s="252">
        <f>Données!R237</f>
        <v>-2222.1</v>
      </c>
      <c r="S237" s="244"/>
      <c r="T237" s="236">
        <f t="shared" si="18"/>
        <v>10604492.103308601</v>
      </c>
      <c r="U237" s="253">
        <f t="shared" si="19"/>
        <v>1271731.9999999998</v>
      </c>
      <c r="V237" s="253">
        <f t="shared" si="20"/>
        <v>347635.52</v>
      </c>
      <c r="W237" s="254">
        <f t="shared" si="21"/>
        <v>12223859.623308601</v>
      </c>
      <c r="X237" s="236">
        <f t="shared" si="22"/>
        <v>1894.8782550470626</v>
      </c>
      <c r="Y237" s="255">
        <f t="shared" si="23"/>
        <v>0.54722036582365208</v>
      </c>
    </row>
    <row r="238" spans="1:25" x14ac:dyDescent="0.25">
      <c r="A238" s="111">
        <f>Données!A238</f>
        <v>5806</v>
      </c>
      <c r="B238" s="119" t="str">
        <f>Données!B238</f>
        <v>Jorat-Mézières</v>
      </c>
      <c r="C238" s="249">
        <f>Données!C238</f>
        <v>3209</v>
      </c>
      <c r="D238" s="250">
        <f>Données!D238</f>
        <v>71</v>
      </c>
      <c r="E238" s="251">
        <f>Données!E238</f>
        <v>1</v>
      </c>
      <c r="F238" s="252">
        <f>Données!F238</f>
        <v>5618420.1600000001</v>
      </c>
      <c r="G238" s="252">
        <f>Données!G238</f>
        <v>722401.43</v>
      </c>
      <c r="H238" s="252">
        <f>Données!H238</f>
        <v>195280.2</v>
      </c>
      <c r="I238" s="252">
        <f>Données!I238</f>
        <v>10940.8</v>
      </c>
      <c r="J238" s="252">
        <f>Données!J238</f>
        <v>52354.65</v>
      </c>
      <c r="K238" s="252">
        <f>Données!K238</f>
        <v>19569.169999999998</v>
      </c>
      <c r="L238" s="252">
        <f>Données!L238</f>
        <v>-48519.29</v>
      </c>
      <c r="M238" s="252">
        <f>Données!M238</f>
        <v>0</v>
      </c>
      <c r="N238" s="252">
        <f>Données!N238</f>
        <v>19198.89</v>
      </c>
      <c r="O238" s="252">
        <f>Données!O238</f>
        <v>627283</v>
      </c>
      <c r="P238" s="252">
        <f>Données!P238</f>
        <v>93436.63</v>
      </c>
      <c r="Q238" s="252">
        <f>Données!Q238</f>
        <v>40158.550000000003</v>
      </c>
      <c r="R238" s="252">
        <f>Données!R238</f>
        <v>-5396.4</v>
      </c>
      <c r="S238" s="244"/>
      <c r="T238" s="236">
        <f t="shared" si="18"/>
        <v>6247511.2354565281</v>
      </c>
      <c r="U238" s="253">
        <f t="shared" si="19"/>
        <v>627283</v>
      </c>
      <c r="V238" s="253">
        <f t="shared" si="20"/>
        <v>128198.78</v>
      </c>
      <c r="W238" s="254">
        <f t="shared" si="21"/>
        <v>7002993.0154565284</v>
      </c>
      <c r="X238" s="236">
        <f t="shared" si="22"/>
        <v>2182.2976053152161</v>
      </c>
      <c r="Y238" s="255">
        <f t="shared" si="23"/>
        <v>0.63022396860373087</v>
      </c>
    </row>
    <row r="239" spans="1:25" x14ac:dyDescent="0.25">
      <c r="A239" s="111">
        <f>Données!A239</f>
        <v>5812</v>
      </c>
      <c r="B239" s="119" t="str">
        <f>Données!B239</f>
        <v>Champtauroz</v>
      </c>
      <c r="C239" s="249">
        <f>Données!C239</f>
        <v>184</v>
      </c>
      <c r="D239" s="250">
        <f>Données!D239</f>
        <v>77</v>
      </c>
      <c r="E239" s="251">
        <f>Données!E239</f>
        <v>0.8</v>
      </c>
      <c r="F239" s="252">
        <f>Données!F239</f>
        <v>259231.86</v>
      </c>
      <c r="G239" s="252">
        <f>Données!G239</f>
        <v>25943.200000000001</v>
      </c>
      <c r="H239" s="252">
        <f>Données!H239</f>
        <v>3490.25</v>
      </c>
      <c r="I239" s="252">
        <f>Données!I239</f>
        <v>526.79999999999995</v>
      </c>
      <c r="J239" s="252">
        <f>Données!J239</f>
        <v>0</v>
      </c>
      <c r="K239" s="252">
        <f>Données!K239</f>
        <v>64.239999999999995</v>
      </c>
      <c r="L239" s="252">
        <f>Données!L239</f>
        <v>-7018.41</v>
      </c>
      <c r="M239" s="252">
        <f>Données!M239</f>
        <v>0</v>
      </c>
      <c r="N239" s="252">
        <f>Données!N239</f>
        <v>373.98</v>
      </c>
      <c r="O239" s="252">
        <f>Données!O239</f>
        <v>21367</v>
      </c>
      <c r="P239" s="252">
        <f>Données!P239</f>
        <v>3627.21</v>
      </c>
      <c r="Q239" s="252">
        <f>Données!Q239</f>
        <v>894.75</v>
      </c>
      <c r="R239" s="252">
        <f>Données!R239</f>
        <v>-71.25</v>
      </c>
      <c r="S239" s="244"/>
      <c r="T239" s="236">
        <f t="shared" si="18"/>
        <v>247060.35415633087</v>
      </c>
      <c r="U239" s="253">
        <f t="shared" si="19"/>
        <v>26708.75</v>
      </c>
      <c r="V239" s="253">
        <f t="shared" si="20"/>
        <v>4450.71</v>
      </c>
      <c r="W239" s="254">
        <f t="shared" si="21"/>
        <v>278219.81415633089</v>
      </c>
      <c r="X239" s="236">
        <f t="shared" si="22"/>
        <v>1512.0642073713636</v>
      </c>
      <c r="Y239" s="255">
        <f t="shared" si="23"/>
        <v>0.43666780517572479</v>
      </c>
    </row>
    <row r="240" spans="1:25" x14ac:dyDescent="0.25">
      <c r="A240" s="111">
        <f>Données!A240</f>
        <v>5813</v>
      </c>
      <c r="B240" s="119" t="str">
        <f>Données!B240</f>
        <v>Chevroux</v>
      </c>
      <c r="C240" s="249">
        <f>Données!C240</f>
        <v>487</v>
      </c>
      <c r="D240" s="250">
        <f>Données!D240</f>
        <v>68.5</v>
      </c>
      <c r="E240" s="251">
        <f>Données!E240</f>
        <v>1.2</v>
      </c>
      <c r="F240" s="252">
        <f>Données!F240</f>
        <v>1171559.17</v>
      </c>
      <c r="G240" s="252">
        <f>Données!G240</f>
        <v>140333.82999999999</v>
      </c>
      <c r="H240" s="252">
        <f>Données!H240</f>
        <v>29867.5</v>
      </c>
      <c r="I240" s="252">
        <f>Données!I240</f>
        <v>520.20000000000005</v>
      </c>
      <c r="J240" s="252">
        <f>Données!J240</f>
        <v>0</v>
      </c>
      <c r="K240" s="252">
        <f>Données!K240</f>
        <v>516.03</v>
      </c>
      <c r="L240" s="252">
        <f>Données!L240</f>
        <v>-7165.85</v>
      </c>
      <c r="M240" s="252">
        <f>Données!M240</f>
        <v>0</v>
      </c>
      <c r="N240" s="252">
        <f>Données!N240</f>
        <v>2829.05</v>
      </c>
      <c r="O240" s="252">
        <f>Données!O240</f>
        <v>128185.15</v>
      </c>
      <c r="P240" s="252">
        <f>Données!P240</f>
        <v>5835.09</v>
      </c>
      <c r="Q240" s="252">
        <f>Données!Q240</f>
        <v>0</v>
      </c>
      <c r="R240" s="252">
        <f>Données!R240</f>
        <v>0</v>
      </c>
      <c r="S240" s="244"/>
      <c r="T240" s="236">
        <f t="shared" si="18"/>
        <v>1315279.6835036434</v>
      </c>
      <c r="U240" s="253">
        <f t="shared" si="19"/>
        <v>106820.95833333333</v>
      </c>
      <c r="V240" s="253">
        <f t="shared" si="20"/>
        <v>5835.09</v>
      </c>
      <c r="W240" s="254">
        <f t="shared" si="21"/>
        <v>1427935.7318369767</v>
      </c>
      <c r="X240" s="236">
        <f t="shared" si="22"/>
        <v>2932.1062255379397</v>
      </c>
      <c r="Y240" s="255">
        <f t="shared" si="23"/>
        <v>0.84676059641247414</v>
      </c>
    </row>
    <row r="241" spans="1:25" x14ac:dyDescent="0.25">
      <c r="A241" s="111">
        <f>Données!A241</f>
        <v>5816</v>
      </c>
      <c r="B241" s="119" t="str">
        <f>Données!B241</f>
        <v>Corcelles-près-Payerne</v>
      </c>
      <c r="C241" s="249">
        <f>Données!C241</f>
        <v>3129</v>
      </c>
      <c r="D241" s="250">
        <f>Données!D241</f>
        <v>65</v>
      </c>
      <c r="E241" s="251">
        <f>Données!E241</f>
        <v>0.7</v>
      </c>
      <c r="F241" s="252">
        <f>Données!F241</f>
        <v>3457357.46</v>
      </c>
      <c r="G241" s="252">
        <f>Données!G241</f>
        <v>390523.24</v>
      </c>
      <c r="H241" s="252">
        <f>Données!H241</f>
        <v>183025.85</v>
      </c>
      <c r="I241" s="252">
        <f>Données!I241</f>
        <v>20078.25</v>
      </c>
      <c r="J241" s="252">
        <f>Données!J241</f>
        <v>0</v>
      </c>
      <c r="K241" s="252">
        <f>Données!K241</f>
        <v>10140.41</v>
      </c>
      <c r="L241" s="252">
        <f>Données!L241</f>
        <v>-106722.39</v>
      </c>
      <c r="M241" s="252">
        <f>Données!M241</f>
        <v>0</v>
      </c>
      <c r="N241" s="252">
        <f>Données!N241</f>
        <v>18908.71</v>
      </c>
      <c r="O241" s="252">
        <f>Données!O241</f>
        <v>330150.40000000002</v>
      </c>
      <c r="P241" s="252">
        <f>Données!P241</f>
        <v>218812.55</v>
      </c>
      <c r="Q241" s="252">
        <f>Données!Q241</f>
        <v>29555.05</v>
      </c>
      <c r="R241" s="252">
        <f>Données!R241</f>
        <v>-167.9</v>
      </c>
      <c r="S241" s="244"/>
      <c r="T241" s="236">
        <f t="shared" si="18"/>
        <v>4114741.6265926645</v>
      </c>
      <c r="U241" s="253">
        <f t="shared" si="19"/>
        <v>471643.42857142864</v>
      </c>
      <c r="V241" s="253">
        <f t="shared" si="20"/>
        <v>248199.69999999998</v>
      </c>
      <c r="W241" s="254">
        <f t="shared" si="21"/>
        <v>4834584.7551640933</v>
      </c>
      <c r="X241" s="236">
        <f t="shared" si="22"/>
        <v>1545.0894072112794</v>
      </c>
      <c r="Y241" s="255">
        <f t="shared" si="23"/>
        <v>0.44620512605091162</v>
      </c>
    </row>
    <row r="242" spans="1:25" x14ac:dyDescent="0.25">
      <c r="A242" s="111">
        <f>Données!A242</f>
        <v>5817</v>
      </c>
      <c r="B242" s="119" t="str">
        <f>Données!B242</f>
        <v>Grandcour</v>
      </c>
      <c r="C242" s="249">
        <f>Données!C242</f>
        <v>970</v>
      </c>
      <c r="D242" s="250">
        <f>Données!D242</f>
        <v>72</v>
      </c>
      <c r="E242" s="251">
        <f>Données!E242</f>
        <v>1</v>
      </c>
      <c r="F242" s="252">
        <f>Données!F242</f>
        <v>1393144.07</v>
      </c>
      <c r="G242" s="252">
        <f>Données!G242</f>
        <v>184744.42</v>
      </c>
      <c r="H242" s="252">
        <f>Données!H242</f>
        <v>30977.1</v>
      </c>
      <c r="I242" s="252">
        <f>Données!I242</f>
        <v>2585.65</v>
      </c>
      <c r="J242" s="252">
        <f>Données!J242</f>
        <v>0</v>
      </c>
      <c r="K242" s="252">
        <f>Données!K242</f>
        <v>0</v>
      </c>
      <c r="L242" s="252">
        <f>Données!L242</f>
        <v>-22791.84</v>
      </c>
      <c r="M242" s="252">
        <f>Données!M242</f>
        <v>0</v>
      </c>
      <c r="N242" s="252">
        <f>Données!N242</f>
        <v>3124.64</v>
      </c>
      <c r="O242" s="252">
        <f>Données!O242</f>
        <v>149542.65</v>
      </c>
      <c r="P242" s="252">
        <f>Données!P242</f>
        <v>47950.71</v>
      </c>
      <c r="Q242" s="252">
        <f>Données!Q242</f>
        <v>9063.15</v>
      </c>
      <c r="R242" s="252">
        <f>Données!R242</f>
        <v>-122.1</v>
      </c>
      <c r="S242" s="244"/>
      <c r="T242" s="236">
        <f t="shared" si="18"/>
        <v>1488178.2698807148</v>
      </c>
      <c r="U242" s="253">
        <f t="shared" si="19"/>
        <v>149542.65</v>
      </c>
      <c r="V242" s="253">
        <f t="shared" si="20"/>
        <v>56891.76</v>
      </c>
      <c r="W242" s="254">
        <f t="shared" si="21"/>
        <v>1694612.6798807147</v>
      </c>
      <c r="X242" s="236">
        <f t="shared" si="22"/>
        <v>1747.0233813203245</v>
      </c>
      <c r="Y242" s="255">
        <f t="shared" si="23"/>
        <v>0.50452147586908558</v>
      </c>
    </row>
    <row r="243" spans="1:25" x14ac:dyDescent="0.25">
      <c r="A243" s="111">
        <f>Données!A243</f>
        <v>5819</v>
      </c>
      <c r="B243" s="119" t="str">
        <f>Données!B243</f>
        <v>Henniez</v>
      </c>
      <c r="C243" s="249">
        <f>Données!C243</f>
        <v>464</v>
      </c>
      <c r="D243" s="250">
        <f>Données!D243</f>
        <v>69</v>
      </c>
      <c r="E243" s="251">
        <f>Données!E243</f>
        <v>1</v>
      </c>
      <c r="F243" s="252">
        <f>Données!F243</f>
        <v>633092.22</v>
      </c>
      <c r="G243" s="252">
        <f>Données!G243</f>
        <v>196240.06</v>
      </c>
      <c r="H243" s="252">
        <f>Données!H243</f>
        <v>32501.9</v>
      </c>
      <c r="I243" s="252">
        <f>Données!I243</f>
        <v>5808.75</v>
      </c>
      <c r="J243" s="252">
        <f>Données!J243</f>
        <v>0</v>
      </c>
      <c r="K243" s="252">
        <f>Données!K243</f>
        <v>18092.400000000001</v>
      </c>
      <c r="L243" s="252">
        <f>Données!L243</f>
        <v>-112325.37</v>
      </c>
      <c r="M243" s="252">
        <f>Données!M243</f>
        <v>0</v>
      </c>
      <c r="N243" s="252">
        <f>Données!N243</f>
        <v>3566.67</v>
      </c>
      <c r="O243" s="252">
        <f>Données!O243</f>
        <v>105245.27</v>
      </c>
      <c r="P243" s="252">
        <f>Données!P243</f>
        <v>12069.22</v>
      </c>
      <c r="Q243" s="252">
        <f>Données!Q243</f>
        <v>2259.15</v>
      </c>
      <c r="R243" s="252">
        <f>Données!R243</f>
        <v>-94.65</v>
      </c>
      <c r="S243" s="244"/>
      <c r="T243" s="236">
        <f t="shared" si="18"/>
        <v>757987.72867038695</v>
      </c>
      <c r="U243" s="253">
        <f t="shared" si="19"/>
        <v>105245.27</v>
      </c>
      <c r="V243" s="253">
        <f t="shared" si="20"/>
        <v>14233.72</v>
      </c>
      <c r="W243" s="254">
        <f t="shared" si="21"/>
        <v>877466.71867038694</v>
      </c>
      <c r="X243" s="236">
        <f t="shared" si="22"/>
        <v>1891.0920660999718</v>
      </c>
      <c r="Y243" s="255">
        <f t="shared" si="23"/>
        <v>0.54612695536565248</v>
      </c>
    </row>
    <row r="244" spans="1:25" x14ac:dyDescent="0.25">
      <c r="A244" s="111">
        <f>Données!A244</f>
        <v>5821</v>
      </c>
      <c r="B244" s="119" t="str">
        <f>Données!B244</f>
        <v>Missy</v>
      </c>
      <c r="C244" s="249">
        <f>Données!C244</f>
        <v>379</v>
      </c>
      <c r="D244" s="250">
        <f>Données!D244</f>
        <v>69</v>
      </c>
      <c r="E244" s="251">
        <f>Données!E244</f>
        <v>1</v>
      </c>
      <c r="F244" s="252">
        <f>Données!F244</f>
        <v>501688.86</v>
      </c>
      <c r="G244" s="252">
        <f>Données!G244</f>
        <v>72533.070000000007</v>
      </c>
      <c r="H244" s="252">
        <f>Données!H244</f>
        <v>6046.9</v>
      </c>
      <c r="I244" s="252">
        <f>Données!I244</f>
        <v>1247.1500000000001</v>
      </c>
      <c r="J244" s="252">
        <f>Données!J244</f>
        <v>0</v>
      </c>
      <c r="K244" s="252">
        <f>Données!K244</f>
        <v>0</v>
      </c>
      <c r="L244" s="252">
        <f>Données!L244</f>
        <v>-13213.06</v>
      </c>
      <c r="M244" s="252">
        <f>Données!M244</f>
        <v>0</v>
      </c>
      <c r="N244" s="252">
        <f>Données!N244</f>
        <v>679.07</v>
      </c>
      <c r="O244" s="252">
        <f>Données!O244</f>
        <v>55814.6</v>
      </c>
      <c r="P244" s="252">
        <f>Données!P244</f>
        <v>17590.46</v>
      </c>
      <c r="Q244" s="252">
        <f>Données!Q244</f>
        <v>1460</v>
      </c>
      <c r="R244" s="252">
        <f>Données!R244</f>
        <v>-53.95</v>
      </c>
      <c r="S244" s="244"/>
      <c r="T244" s="236">
        <f t="shared" si="18"/>
        <v>555076.36858325673</v>
      </c>
      <c r="U244" s="253">
        <f t="shared" si="19"/>
        <v>55814.6</v>
      </c>
      <c r="V244" s="253">
        <f t="shared" si="20"/>
        <v>18996.509999999998</v>
      </c>
      <c r="W244" s="254">
        <f t="shared" si="21"/>
        <v>629887.47858325671</v>
      </c>
      <c r="X244" s="236">
        <f t="shared" si="22"/>
        <v>1661.9722390059544</v>
      </c>
      <c r="Y244" s="255">
        <f t="shared" si="23"/>
        <v>0.47995962494962735</v>
      </c>
    </row>
    <row r="245" spans="1:25" x14ac:dyDescent="0.25">
      <c r="A245" s="111">
        <f>Données!A245</f>
        <v>5822</v>
      </c>
      <c r="B245" s="119" t="str">
        <f>Données!B245</f>
        <v>Payerne</v>
      </c>
      <c r="C245" s="249">
        <f>Données!C245</f>
        <v>10972</v>
      </c>
      <c r="D245" s="250">
        <f>Données!D245</f>
        <v>70</v>
      </c>
      <c r="E245" s="251">
        <f>Données!E245</f>
        <v>1</v>
      </c>
      <c r="F245" s="252">
        <f>Données!F245</f>
        <v>12502391.800000001</v>
      </c>
      <c r="G245" s="252">
        <f>Données!G245</f>
        <v>1499607.85</v>
      </c>
      <c r="H245" s="252">
        <f>Données!H245</f>
        <v>1173061.7</v>
      </c>
      <c r="I245" s="252">
        <f>Données!I245</f>
        <v>74919</v>
      </c>
      <c r="J245" s="252">
        <f>Données!J245</f>
        <v>0</v>
      </c>
      <c r="K245" s="252">
        <f>Données!K245</f>
        <v>124148.82</v>
      </c>
      <c r="L245" s="252">
        <f>Données!L245</f>
        <v>-519176.57999999996</v>
      </c>
      <c r="M245" s="252">
        <f>Données!M245</f>
        <v>0</v>
      </c>
      <c r="N245" s="252">
        <f>Données!N245</f>
        <v>116185.25</v>
      </c>
      <c r="O245" s="252">
        <f>Données!O245</f>
        <v>1741289.15</v>
      </c>
      <c r="P245" s="252">
        <f>Données!P245</f>
        <v>934648.48</v>
      </c>
      <c r="Q245" s="252">
        <f>Données!Q245</f>
        <v>34846.699999999997</v>
      </c>
      <c r="R245" s="252">
        <f>Données!R245</f>
        <v>-1932.3</v>
      </c>
      <c r="S245" s="244"/>
      <c r="T245" s="236">
        <f t="shared" si="18"/>
        <v>14396604.63918511</v>
      </c>
      <c r="U245" s="253">
        <f t="shared" si="19"/>
        <v>1741289.15</v>
      </c>
      <c r="V245" s="253">
        <f t="shared" si="20"/>
        <v>967562.87999999989</v>
      </c>
      <c r="W245" s="254">
        <f t="shared" si="21"/>
        <v>17105456.669185109</v>
      </c>
      <c r="X245" s="236">
        <f t="shared" si="22"/>
        <v>1559.0099042275892</v>
      </c>
      <c r="Y245" s="255">
        <f t="shared" si="23"/>
        <v>0.45022521517770508</v>
      </c>
    </row>
    <row r="246" spans="1:25" x14ac:dyDescent="0.25">
      <c r="A246" s="111">
        <f>Données!A246</f>
        <v>5827</v>
      </c>
      <c r="B246" s="119" t="str">
        <f>Données!B246</f>
        <v>Trey</v>
      </c>
      <c r="C246" s="249">
        <f>Données!C246</f>
        <v>305</v>
      </c>
      <c r="D246" s="250">
        <f>Données!D246</f>
        <v>78</v>
      </c>
      <c r="E246" s="251">
        <f>Données!E246</f>
        <v>1</v>
      </c>
      <c r="F246" s="252">
        <f>Données!F246</f>
        <v>532845.63</v>
      </c>
      <c r="G246" s="252">
        <f>Données!G246</f>
        <v>66536.789999999994</v>
      </c>
      <c r="H246" s="252">
        <f>Données!H246</f>
        <v>8060.8</v>
      </c>
      <c r="I246" s="252">
        <f>Données!I246</f>
        <v>1456.05</v>
      </c>
      <c r="J246" s="252">
        <f>Données!J246</f>
        <v>0</v>
      </c>
      <c r="K246" s="252">
        <f>Données!K246</f>
        <v>0</v>
      </c>
      <c r="L246" s="252">
        <f>Données!L246</f>
        <v>-19810.84</v>
      </c>
      <c r="M246" s="252">
        <f>Données!M246</f>
        <v>0</v>
      </c>
      <c r="N246" s="252">
        <f>Données!N246</f>
        <v>886.01</v>
      </c>
      <c r="O246" s="252">
        <f>Données!O246</f>
        <v>48146.7</v>
      </c>
      <c r="P246" s="252">
        <f>Données!P246</f>
        <v>10134.370000000001</v>
      </c>
      <c r="Q246" s="252">
        <f>Données!Q246</f>
        <v>1659.35</v>
      </c>
      <c r="R246" s="252">
        <f>Données!R246</f>
        <v>0</v>
      </c>
      <c r="S246" s="244"/>
      <c r="T246" s="236">
        <f t="shared" si="18"/>
        <v>509145.49248665321</v>
      </c>
      <c r="U246" s="253">
        <f t="shared" si="19"/>
        <v>48146.7</v>
      </c>
      <c r="V246" s="253">
        <f t="shared" si="20"/>
        <v>11793.720000000001</v>
      </c>
      <c r="W246" s="254">
        <f t="shared" si="21"/>
        <v>569085.91248665319</v>
      </c>
      <c r="X246" s="236">
        <f t="shared" si="22"/>
        <v>1865.855450775912</v>
      </c>
      <c r="Y246" s="255">
        <f t="shared" si="23"/>
        <v>0.53883889354268333</v>
      </c>
    </row>
    <row r="247" spans="1:25" x14ac:dyDescent="0.25">
      <c r="A247" s="111">
        <f>Données!A247</f>
        <v>5828</v>
      </c>
      <c r="B247" s="119" t="str">
        <f>Données!B247</f>
        <v>Treytorrens (Payerne)</v>
      </c>
      <c r="C247" s="249">
        <f>Données!C247</f>
        <v>108</v>
      </c>
      <c r="D247" s="250">
        <f>Données!D247</f>
        <v>81.5</v>
      </c>
      <c r="E247" s="251">
        <f>Données!E247</f>
        <v>1.5</v>
      </c>
      <c r="F247" s="252">
        <f>Données!F247</f>
        <v>189714.39</v>
      </c>
      <c r="G247" s="252">
        <f>Données!G247</f>
        <v>76480.61</v>
      </c>
      <c r="H247" s="252">
        <f>Données!H247</f>
        <v>-34.799999999999997</v>
      </c>
      <c r="I247" s="252">
        <f>Données!I247</f>
        <v>923.45</v>
      </c>
      <c r="J247" s="252">
        <f>Données!J247</f>
        <v>0</v>
      </c>
      <c r="K247" s="252">
        <f>Données!K247</f>
        <v>1736.93</v>
      </c>
      <c r="L247" s="252">
        <f>Données!L247</f>
        <v>-1907.78</v>
      </c>
      <c r="M247" s="252">
        <f>Données!M247</f>
        <v>0</v>
      </c>
      <c r="N247" s="252">
        <f>Données!N247</f>
        <v>82.73</v>
      </c>
      <c r="O247" s="252">
        <f>Données!O247</f>
        <v>29128.799999999999</v>
      </c>
      <c r="P247" s="252">
        <f>Données!P247</f>
        <v>0</v>
      </c>
      <c r="Q247" s="252">
        <f>Données!Q247</f>
        <v>0</v>
      </c>
      <c r="R247" s="252">
        <f>Données!R247</f>
        <v>-145.15</v>
      </c>
      <c r="S247" s="244"/>
      <c r="T247" s="236">
        <f t="shared" si="18"/>
        <v>220520.86687528851</v>
      </c>
      <c r="U247" s="253">
        <f t="shared" si="19"/>
        <v>19419.2</v>
      </c>
      <c r="V247" s="253">
        <f t="shared" si="20"/>
        <v>-145.15</v>
      </c>
      <c r="W247" s="254">
        <f t="shared" si="21"/>
        <v>239794.91687528853</v>
      </c>
      <c r="X247" s="236">
        <f t="shared" si="22"/>
        <v>2220.3233044008198</v>
      </c>
      <c r="Y247" s="255">
        <f t="shared" si="23"/>
        <v>0.64120537963048174</v>
      </c>
    </row>
    <row r="248" spans="1:25" x14ac:dyDescent="0.25">
      <c r="A248" s="111">
        <f>Données!A248</f>
        <v>5830</v>
      </c>
      <c r="B248" s="119" t="str">
        <f>Données!B248</f>
        <v>Villarzel</v>
      </c>
      <c r="C248" s="249">
        <f>Données!C248</f>
        <v>522</v>
      </c>
      <c r="D248" s="250">
        <f>Données!D248</f>
        <v>75</v>
      </c>
      <c r="E248" s="251">
        <f>Données!E248</f>
        <v>1</v>
      </c>
      <c r="F248" s="252">
        <f>Données!F248</f>
        <v>828635.36</v>
      </c>
      <c r="G248" s="252">
        <f>Données!G248</f>
        <v>143066.85</v>
      </c>
      <c r="H248" s="252">
        <f>Données!H248</f>
        <v>3589.5</v>
      </c>
      <c r="I248" s="252">
        <f>Données!I248</f>
        <v>1088.05</v>
      </c>
      <c r="J248" s="252">
        <f>Données!J248</f>
        <v>0</v>
      </c>
      <c r="K248" s="252">
        <f>Données!K248</f>
        <v>0</v>
      </c>
      <c r="L248" s="252">
        <f>Données!L248</f>
        <v>-18834.8</v>
      </c>
      <c r="M248" s="252">
        <f>Données!M248</f>
        <v>0</v>
      </c>
      <c r="N248" s="252">
        <f>Données!N248</f>
        <v>435.47</v>
      </c>
      <c r="O248" s="252">
        <f>Données!O248</f>
        <v>72664.399999999994</v>
      </c>
      <c r="P248" s="252">
        <f>Données!P248</f>
        <v>17290.55</v>
      </c>
      <c r="Q248" s="252">
        <f>Données!Q248</f>
        <v>1561.7</v>
      </c>
      <c r="R248" s="252">
        <f>Données!R248</f>
        <v>-55.75</v>
      </c>
      <c r="S248" s="244"/>
      <c r="T248" s="236">
        <f t="shared" si="18"/>
        <v>859802.45947251993</v>
      </c>
      <c r="U248" s="253">
        <f t="shared" si="19"/>
        <v>72664.399999999994</v>
      </c>
      <c r="V248" s="253">
        <f t="shared" si="20"/>
        <v>18796.5</v>
      </c>
      <c r="W248" s="254">
        <f t="shared" si="21"/>
        <v>951263.35947251995</v>
      </c>
      <c r="X248" s="236">
        <f t="shared" si="22"/>
        <v>1822.343600522069</v>
      </c>
      <c r="Y248" s="255">
        <f t="shared" si="23"/>
        <v>0.52627314133662373</v>
      </c>
    </row>
    <row r="249" spans="1:25" x14ac:dyDescent="0.25">
      <c r="A249" s="111">
        <f>Données!A249</f>
        <v>5831</v>
      </c>
      <c r="B249" s="119" t="str">
        <f>Données!B249</f>
        <v>Valbroye</v>
      </c>
      <c r="C249" s="249">
        <f>Données!C249</f>
        <v>3416</v>
      </c>
      <c r="D249" s="250">
        <f>Données!D249</f>
        <v>70.5</v>
      </c>
      <c r="E249" s="251">
        <f>Données!E249</f>
        <v>0.6</v>
      </c>
      <c r="F249" s="252">
        <f>Données!F249</f>
        <v>4938826.58</v>
      </c>
      <c r="G249" s="252">
        <f>Données!G249</f>
        <v>748374.14</v>
      </c>
      <c r="H249" s="252">
        <f>Données!H249</f>
        <v>328471.34999999998</v>
      </c>
      <c r="I249" s="252">
        <f>Données!I249</f>
        <v>15517.8</v>
      </c>
      <c r="J249" s="252">
        <f>Données!J249</f>
        <v>0</v>
      </c>
      <c r="K249" s="252">
        <f>Données!K249</f>
        <v>18070.91</v>
      </c>
      <c r="L249" s="252">
        <f>Données!L249</f>
        <v>-89081.78</v>
      </c>
      <c r="M249" s="252">
        <f>Données!M249</f>
        <v>0</v>
      </c>
      <c r="N249" s="252">
        <f>Données!N249</f>
        <v>32024.91</v>
      </c>
      <c r="O249" s="252">
        <f>Données!O249</f>
        <v>343361.05</v>
      </c>
      <c r="P249" s="252">
        <f>Données!P249</f>
        <v>187925.14</v>
      </c>
      <c r="Q249" s="252">
        <f>Données!Q249</f>
        <v>37229.800000000003</v>
      </c>
      <c r="R249" s="252">
        <f>Données!R249</f>
        <v>-2176.1999999999998</v>
      </c>
      <c r="S249" s="244"/>
      <c r="T249" s="236">
        <f t="shared" si="18"/>
        <v>5721379.7681748215</v>
      </c>
      <c r="U249" s="253">
        <f t="shared" si="19"/>
        <v>572268.41666666663</v>
      </c>
      <c r="V249" s="253">
        <f t="shared" si="20"/>
        <v>222978.74</v>
      </c>
      <c r="W249" s="254">
        <f t="shared" si="21"/>
        <v>6516626.9248414887</v>
      </c>
      <c r="X249" s="236">
        <f t="shared" si="22"/>
        <v>1907.6776712065248</v>
      </c>
      <c r="Y249" s="255">
        <f t="shared" si="23"/>
        <v>0.55091669891231065</v>
      </c>
    </row>
    <row r="250" spans="1:25" x14ac:dyDescent="0.25">
      <c r="A250" s="111">
        <f>Données!A250</f>
        <v>5841</v>
      </c>
      <c r="B250" s="119" t="str">
        <f>Données!B250</f>
        <v>Château-d'Oex</v>
      </c>
      <c r="C250" s="249">
        <f>Données!C250</f>
        <v>3689</v>
      </c>
      <c r="D250" s="250">
        <f>Données!D250</f>
        <v>81.5</v>
      </c>
      <c r="E250" s="251">
        <f>Données!E250</f>
        <v>1.5</v>
      </c>
      <c r="F250" s="252">
        <f>Données!F250</f>
        <v>5969318.5700000003</v>
      </c>
      <c r="G250" s="252">
        <f>Données!G250</f>
        <v>2139091.52</v>
      </c>
      <c r="H250" s="252">
        <f>Données!H250</f>
        <v>338943.85</v>
      </c>
      <c r="I250" s="252">
        <f>Données!I250</f>
        <v>-2494.85</v>
      </c>
      <c r="J250" s="252">
        <f>Données!J250</f>
        <v>787830.3</v>
      </c>
      <c r="K250" s="252">
        <f>Données!K250</f>
        <v>17642.39</v>
      </c>
      <c r="L250" s="252">
        <f>Données!L250</f>
        <v>-51831.58</v>
      </c>
      <c r="M250" s="252">
        <f>Données!M250</f>
        <v>0</v>
      </c>
      <c r="N250" s="252">
        <f>Données!N250</f>
        <v>31322.93</v>
      </c>
      <c r="O250" s="252">
        <f>Données!O250</f>
        <v>1693208.05</v>
      </c>
      <c r="P250" s="252">
        <f>Données!P250</f>
        <v>521789.34</v>
      </c>
      <c r="Q250" s="252">
        <f>Données!Q250</f>
        <v>35873.75</v>
      </c>
      <c r="R250" s="252">
        <f>Données!R250</f>
        <v>-10120.299999999999</v>
      </c>
      <c r="S250" s="244"/>
      <c r="T250" s="236">
        <f t="shared" si="18"/>
        <v>7623230.9871749124</v>
      </c>
      <c r="U250" s="253">
        <f t="shared" si="19"/>
        <v>1128805.3666666667</v>
      </c>
      <c r="V250" s="253">
        <f t="shared" si="20"/>
        <v>547542.79</v>
      </c>
      <c r="W250" s="254">
        <f t="shared" si="21"/>
        <v>9299579.1438415796</v>
      </c>
      <c r="X250" s="236">
        <f t="shared" si="22"/>
        <v>2520.8943192847869</v>
      </c>
      <c r="Y250" s="255">
        <f t="shared" si="23"/>
        <v>0.72800704104735503</v>
      </c>
    </row>
    <row r="251" spans="1:25" x14ac:dyDescent="0.25">
      <c r="A251" s="111">
        <f>Données!A251</f>
        <v>5842</v>
      </c>
      <c r="B251" s="119" t="str">
        <f>Données!B251</f>
        <v>Rossinière</v>
      </c>
      <c r="C251" s="249">
        <f>Données!C251</f>
        <v>504</v>
      </c>
      <c r="D251" s="250">
        <f>Données!D251</f>
        <v>81</v>
      </c>
      <c r="E251" s="251">
        <f>Données!E251</f>
        <v>1.5</v>
      </c>
      <c r="F251" s="252">
        <f>Données!F251</f>
        <v>835502.38</v>
      </c>
      <c r="G251" s="252">
        <f>Données!G251</f>
        <v>237477.83</v>
      </c>
      <c r="H251" s="252">
        <f>Données!H251</f>
        <v>17291.2</v>
      </c>
      <c r="I251" s="252">
        <f>Données!I251</f>
        <v>419.2</v>
      </c>
      <c r="J251" s="252">
        <f>Données!J251</f>
        <v>46417.1</v>
      </c>
      <c r="K251" s="252">
        <f>Données!K251</f>
        <v>0</v>
      </c>
      <c r="L251" s="252">
        <f>Données!L251</f>
        <v>-6430.75</v>
      </c>
      <c r="M251" s="252">
        <f>Données!M251</f>
        <v>0</v>
      </c>
      <c r="N251" s="252">
        <f>Données!N251</f>
        <v>1648.81</v>
      </c>
      <c r="O251" s="252">
        <f>Données!O251</f>
        <v>151343.6</v>
      </c>
      <c r="P251" s="252">
        <f>Données!P251</f>
        <v>23513.66</v>
      </c>
      <c r="Q251" s="252">
        <f>Données!Q251</f>
        <v>1119.8499999999999</v>
      </c>
      <c r="R251" s="252">
        <f>Données!R251</f>
        <v>-49.45</v>
      </c>
      <c r="S251" s="244"/>
      <c r="T251" s="236">
        <f t="shared" si="18"/>
        <v>941000.12620078714</v>
      </c>
      <c r="U251" s="253">
        <f t="shared" si="19"/>
        <v>100895.73333333334</v>
      </c>
      <c r="V251" s="253">
        <f t="shared" si="20"/>
        <v>24584.059999999998</v>
      </c>
      <c r="W251" s="254">
        <f t="shared" si="21"/>
        <v>1066479.9195341205</v>
      </c>
      <c r="X251" s="236">
        <f t="shared" si="22"/>
        <v>2116.031586377223</v>
      </c>
      <c r="Y251" s="255">
        <f t="shared" si="23"/>
        <v>0.61108705834137478</v>
      </c>
    </row>
    <row r="252" spans="1:25" x14ac:dyDescent="0.25">
      <c r="A252" s="111">
        <f>Données!A252</f>
        <v>5843</v>
      </c>
      <c r="B252" s="119" t="str">
        <f>Données!B252</f>
        <v>Rougemont</v>
      </c>
      <c r="C252" s="249">
        <f>Données!C252</f>
        <v>805</v>
      </c>
      <c r="D252" s="250">
        <f>Données!D252</f>
        <v>79</v>
      </c>
      <c r="E252" s="251">
        <f>Données!E252</f>
        <v>1.5</v>
      </c>
      <c r="F252" s="252">
        <f>Données!F252</f>
        <v>2176260.46</v>
      </c>
      <c r="G252" s="252">
        <f>Données!G252</f>
        <v>2056779.72</v>
      </c>
      <c r="H252" s="252">
        <f>Données!H252</f>
        <v>165970.5</v>
      </c>
      <c r="I252" s="252">
        <f>Données!I252</f>
        <v>12198.9</v>
      </c>
      <c r="J252" s="252">
        <f>Données!J252</f>
        <v>1852536.32</v>
      </c>
      <c r="K252" s="252">
        <f>Données!K252</f>
        <v>9506.86</v>
      </c>
      <c r="L252" s="252">
        <f>Données!L252</f>
        <v>-75296.83</v>
      </c>
      <c r="M252" s="252">
        <f>Données!M252</f>
        <v>0</v>
      </c>
      <c r="N252" s="252">
        <f>Données!N252</f>
        <v>16587.32</v>
      </c>
      <c r="O252" s="252">
        <f>Données!O252</f>
        <v>1329405.3500000001</v>
      </c>
      <c r="P252" s="252">
        <f>Données!P252</f>
        <v>146742.51</v>
      </c>
      <c r="Q252" s="252">
        <f>Données!Q252</f>
        <v>29797.95</v>
      </c>
      <c r="R252" s="252">
        <f>Données!R252</f>
        <v>-24160.05</v>
      </c>
      <c r="S252" s="244"/>
      <c r="T252" s="236">
        <f t="shared" si="18"/>
        <v>5295237.367002096</v>
      </c>
      <c r="U252" s="253">
        <f t="shared" si="19"/>
        <v>886270.2333333334</v>
      </c>
      <c r="V252" s="253">
        <f t="shared" si="20"/>
        <v>152380.41000000003</v>
      </c>
      <c r="W252" s="254">
        <f t="shared" si="21"/>
        <v>6333888.0103354296</v>
      </c>
      <c r="X252" s="236">
        <f t="shared" si="22"/>
        <v>7868.1838637707197</v>
      </c>
      <c r="Y252" s="255">
        <f t="shared" si="23"/>
        <v>2.2722464838214269</v>
      </c>
    </row>
    <row r="253" spans="1:25" x14ac:dyDescent="0.25">
      <c r="A253" s="111">
        <f>Données!A253</f>
        <v>5851</v>
      </c>
      <c r="B253" s="119" t="str">
        <f>Données!B253</f>
        <v>Allaman</v>
      </c>
      <c r="C253" s="249">
        <f>Données!C253</f>
        <v>412</v>
      </c>
      <c r="D253" s="250">
        <f>Données!D253</f>
        <v>65</v>
      </c>
      <c r="E253" s="251">
        <f>Données!E253</f>
        <v>1.2</v>
      </c>
      <c r="F253" s="252">
        <f>Données!F253</f>
        <v>914740.03</v>
      </c>
      <c r="G253" s="252">
        <f>Données!G253</f>
        <v>244111.49</v>
      </c>
      <c r="H253" s="252">
        <f>Données!H253</f>
        <v>118893.05</v>
      </c>
      <c r="I253" s="252">
        <f>Données!I253</f>
        <v>28178.3</v>
      </c>
      <c r="J253" s="252">
        <f>Données!J253</f>
        <v>132954.54999999999</v>
      </c>
      <c r="K253" s="252">
        <f>Données!K253</f>
        <v>0.21</v>
      </c>
      <c r="L253" s="252">
        <f>Données!L253</f>
        <v>-7757.2</v>
      </c>
      <c r="M253" s="252">
        <f>Données!M253</f>
        <v>0</v>
      </c>
      <c r="N253" s="252">
        <f>Données!N253</f>
        <v>13692.14</v>
      </c>
      <c r="O253" s="252">
        <f>Données!O253</f>
        <v>277137.40000000002</v>
      </c>
      <c r="P253" s="252">
        <f>Données!P253</f>
        <v>58250.52</v>
      </c>
      <c r="Q253" s="252">
        <f>Données!Q253</f>
        <v>52374.85</v>
      </c>
      <c r="R253" s="252">
        <f>Données!R253</f>
        <v>-1371.05</v>
      </c>
      <c r="S253" s="244"/>
      <c r="T253" s="236">
        <f t="shared" si="18"/>
        <v>1496240.6998585707</v>
      </c>
      <c r="U253" s="253">
        <f t="shared" si="19"/>
        <v>230947.83333333337</v>
      </c>
      <c r="V253" s="253">
        <f t="shared" si="20"/>
        <v>109254.31999999999</v>
      </c>
      <c r="W253" s="254">
        <f t="shared" si="21"/>
        <v>1836442.853191904</v>
      </c>
      <c r="X253" s="236">
        <f t="shared" si="22"/>
        <v>4457.3855659997671</v>
      </c>
      <c r="Y253" s="255">
        <f t="shared" si="23"/>
        <v>1.287244789234693</v>
      </c>
    </row>
    <row r="254" spans="1:25" x14ac:dyDescent="0.25">
      <c r="A254" s="111">
        <f>Données!A254</f>
        <v>5852</v>
      </c>
      <c r="B254" s="119" t="str">
        <f>Données!B254</f>
        <v>Bursinel</v>
      </c>
      <c r="C254" s="249">
        <f>Données!C254</f>
        <v>535</v>
      </c>
      <c r="D254" s="250">
        <f>Données!D254</f>
        <v>62</v>
      </c>
      <c r="E254" s="251">
        <f>Données!E254</f>
        <v>0.75</v>
      </c>
      <c r="F254" s="252">
        <f>Données!F254</f>
        <v>1428499.96</v>
      </c>
      <c r="G254" s="252">
        <f>Données!G254</f>
        <v>681083.3</v>
      </c>
      <c r="H254" s="252">
        <f>Données!H254</f>
        <v>22612.400000000001</v>
      </c>
      <c r="I254" s="252">
        <f>Données!I254</f>
        <v>1238.25</v>
      </c>
      <c r="J254" s="252">
        <f>Données!J254</f>
        <v>578305.15</v>
      </c>
      <c r="K254" s="252">
        <f>Données!K254</f>
        <v>0</v>
      </c>
      <c r="L254" s="252">
        <f>Données!L254</f>
        <v>-9167.2099999999991</v>
      </c>
      <c r="M254" s="252">
        <f>Données!M254</f>
        <v>0</v>
      </c>
      <c r="N254" s="252">
        <f>Données!N254</f>
        <v>2220.46</v>
      </c>
      <c r="O254" s="252">
        <f>Données!O254</f>
        <v>155374.95000000001</v>
      </c>
      <c r="P254" s="252">
        <f>Données!P254</f>
        <v>38533.879999999997</v>
      </c>
      <c r="Q254" s="252">
        <f>Données!Q254</f>
        <v>10783.85</v>
      </c>
      <c r="R254" s="252">
        <f>Données!R254</f>
        <v>-16500.2</v>
      </c>
      <c r="S254" s="244"/>
      <c r="T254" s="236">
        <f t="shared" si="18"/>
        <v>2936605.0599015127</v>
      </c>
      <c r="U254" s="253">
        <f t="shared" si="19"/>
        <v>207166.6</v>
      </c>
      <c r="V254" s="253">
        <f t="shared" si="20"/>
        <v>32817.53</v>
      </c>
      <c r="W254" s="254">
        <f t="shared" si="21"/>
        <v>3176589.1899015126</v>
      </c>
      <c r="X254" s="236">
        <f t="shared" si="22"/>
        <v>5937.5498876663787</v>
      </c>
      <c r="Y254" s="255">
        <f t="shared" si="23"/>
        <v>1.7147002520984029</v>
      </c>
    </row>
    <row r="255" spans="1:25" x14ac:dyDescent="0.25">
      <c r="A255" s="111">
        <f>Données!A255</f>
        <v>5853</v>
      </c>
      <c r="B255" s="119" t="str">
        <f>Données!B255</f>
        <v>Bursins</v>
      </c>
      <c r="C255" s="249">
        <f>Données!C255</f>
        <v>831</v>
      </c>
      <c r="D255" s="250">
        <f>Données!D255</f>
        <v>71</v>
      </c>
      <c r="E255" s="251">
        <f>Données!E255</f>
        <v>1</v>
      </c>
      <c r="F255" s="252">
        <f>Données!F255</f>
        <v>2305547.2599999998</v>
      </c>
      <c r="G255" s="252">
        <f>Données!G255</f>
        <v>507707.05</v>
      </c>
      <c r="H255" s="252">
        <f>Données!H255</f>
        <v>17606.900000000001</v>
      </c>
      <c r="I255" s="252">
        <f>Données!I255</f>
        <v>3184.7</v>
      </c>
      <c r="J255" s="252">
        <f>Données!J255</f>
        <v>123857.11</v>
      </c>
      <c r="K255" s="252">
        <f>Données!K255</f>
        <v>434.27</v>
      </c>
      <c r="L255" s="252">
        <f>Données!L255</f>
        <v>-28745.83</v>
      </c>
      <c r="M255" s="252">
        <f>Données!M255</f>
        <v>0</v>
      </c>
      <c r="N255" s="252">
        <f>Données!N255</f>
        <v>1935.67</v>
      </c>
      <c r="O255" s="252">
        <f>Données!O255</f>
        <v>235746.4</v>
      </c>
      <c r="P255" s="252">
        <f>Données!P255</f>
        <v>44336.67</v>
      </c>
      <c r="Q255" s="252">
        <f>Données!Q255</f>
        <v>10650</v>
      </c>
      <c r="R255" s="252">
        <f>Données!R255</f>
        <v>-1967.1</v>
      </c>
      <c r="S255" s="244"/>
      <c r="T255" s="236">
        <f t="shared" si="18"/>
        <v>2779322.0840584468</v>
      </c>
      <c r="U255" s="253">
        <f t="shared" si="19"/>
        <v>235746.4</v>
      </c>
      <c r="V255" s="253">
        <f t="shared" si="20"/>
        <v>53019.57</v>
      </c>
      <c r="W255" s="254">
        <f t="shared" si="21"/>
        <v>3068088.0540584465</v>
      </c>
      <c r="X255" s="236">
        <f t="shared" si="22"/>
        <v>3692.0433863519211</v>
      </c>
      <c r="Y255" s="255">
        <f t="shared" si="23"/>
        <v>1.0662222373046939</v>
      </c>
    </row>
    <row r="256" spans="1:25" x14ac:dyDescent="0.25">
      <c r="A256" s="111">
        <f>Données!A256</f>
        <v>5854</v>
      </c>
      <c r="B256" s="119" t="str">
        <f>Données!B256</f>
        <v>Burtigny</v>
      </c>
      <c r="C256" s="249">
        <f>Données!C256</f>
        <v>406</v>
      </c>
      <c r="D256" s="250">
        <f>Données!D256</f>
        <v>75</v>
      </c>
      <c r="E256" s="251">
        <f>Données!E256</f>
        <v>1.5</v>
      </c>
      <c r="F256" s="252">
        <f>Données!F256</f>
        <v>813609.52</v>
      </c>
      <c r="G256" s="252">
        <f>Données!G256</f>
        <v>205566.61</v>
      </c>
      <c r="H256" s="252">
        <f>Données!H256</f>
        <v>19109.2</v>
      </c>
      <c r="I256" s="252">
        <f>Données!I256</f>
        <v>2850.85</v>
      </c>
      <c r="J256" s="252">
        <f>Données!J256</f>
        <v>0</v>
      </c>
      <c r="K256" s="252">
        <f>Données!K256</f>
        <v>0</v>
      </c>
      <c r="L256" s="252">
        <f>Données!L256</f>
        <v>-676.3</v>
      </c>
      <c r="M256" s="252">
        <f>Données!M256</f>
        <v>0</v>
      </c>
      <c r="N256" s="252">
        <f>Données!N256</f>
        <v>2044.45</v>
      </c>
      <c r="O256" s="252">
        <f>Données!O256</f>
        <v>121668.95</v>
      </c>
      <c r="P256" s="252">
        <f>Données!P256</f>
        <v>10158.450000000001</v>
      </c>
      <c r="Q256" s="252">
        <f>Données!Q256</f>
        <v>3438.95</v>
      </c>
      <c r="R256" s="252">
        <f>Données!R256</f>
        <v>-939.2</v>
      </c>
      <c r="S256" s="244"/>
      <c r="T256" s="236">
        <f t="shared" si="18"/>
        <v>935663.98527029564</v>
      </c>
      <c r="U256" s="253">
        <f t="shared" si="19"/>
        <v>81112.633333333331</v>
      </c>
      <c r="V256" s="253">
        <f t="shared" si="20"/>
        <v>12658.2</v>
      </c>
      <c r="W256" s="254">
        <f t="shared" si="21"/>
        <v>1029434.8186036289</v>
      </c>
      <c r="X256" s="236">
        <f t="shared" si="22"/>
        <v>2535.5537404030269</v>
      </c>
      <c r="Y256" s="255">
        <f t="shared" si="23"/>
        <v>0.73224052347068203</v>
      </c>
    </row>
    <row r="257" spans="1:25" x14ac:dyDescent="0.25">
      <c r="A257" s="111">
        <f>Données!A257</f>
        <v>5855</v>
      </c>
      <c r="B257" s="119" t="str">
        <f>Données!B257</f>
        <v>Dully</v>
      </c>
      <c r="C257" s="249">
        <f>Données!C257</f>
        <v>637</v>
      </c>
      <c r="D257" s="250">
        <f>Données!D257</f>
        <v>53</v>
      </c>
      <c r="E257" s="251">
        <f>Données!E257</f>
        <v>1</v>
      </c>
      <c r="F257" s="252">
        <f>Données!F257</f>
        <v>2731460.41</v>
      </c>
      <c r="G257" s="252">
        <f>Données!G257</f>
        <v>1253128.96</v>
      </c>
      <c r="H257" s="252">
        <f>Données!H257</f>
        <v>69610.5</v>
      </c>
      <c r="I257" s="252">
        <f>Données!I257</f>
        <v>28500.75</v>
      </c>
      <c r="J257" s="252">
        <f>Données!J257</f>
        <v>1184109.8999999999</v>
      </c>
      <c r="K257" s="252">
        <f>Données!K257</f>
        <v>306.20999999999998</v>
      </c>
      <c r="L257" s="252">
        <f>Données!L257</f>
        <v>-2317.08</v>
      </c>
      <c r="M257" s="252">
        <f>Données!M257</f>
        <v>0</v>
      </c>
      <c r="N257" s="252">
        <f>Données!N257</f>
        <v>9134.02</v>
      </c>
      <c r="O257" s="252">
        <f>Données!O257</f>
        <v>398228.7</v>
      </c>
      <c r="P257" s="252">
        <f>Données!P257</f>
        <v>13016.96</v>
      </c>
      <c r="Q257" s="252">
        <f>Données!Q257</f>
        <v>10838.5</v>
      </c>
      <c r="R257" s="252">
        <f>Données!R257</f>
        <v>-24041.3</v>
      </c>
      <c r="S257" s="244"/>
      <c r="T257" s="236">
        <f t="shared" si="18"/>
        <v>6698261.5717878211</v>
      </c>
      <c r="U257" s="253">
        <f t="shared" si="19"/>
        <v>398228.7</v>
      </c>
      <c r="V257" s="253">
        <f t="shared" si="20"/>
        <v>-185.84000000000015</v>
      </c>
      <c r="W257" s="254">
        <f t="shared" si="21"/>
        <v>7096304.4317878215</v>
      </c>
      <c r="X257" s="236">
        <f t="shared" si="22"/>
        <v>11140.195340326251</v>
      </c>
      <c r="Y257" s="255">
        <f t="shared" si="23"/>
        <v>3.2171680440381993</v>
      </c>
    </row>
    <row r="258" spans="1:25" x14ac:dyDescent="0.25">
      <c r="A258" s="111">
        <f>Données!A258</f>
        <v>5856</v>
      </c>
      <c r="B258" s="119" t="str">
        <f>Données!B258</f>
        <v>Essertines-sur-Rolle</v>
      </c>
      <c r="C258" s="249">
        <f>Données!C258</f>
        <v>770</v>
      </c>
      <c r="D258" s="250">
        <f>Données!D258</f>
        <v>66.5</v>
      </c>
      <c r="E258" s="251">
        <f>Données!E258</f>
        <v>1.3</v>
      </c>
      <c r="F258" s="252">
        <f>Données!F258</f>
        <v>1945150.88</v>
      </c>
      <c r="G258" s="252">
        <f>Données!G258</f>
        <v>337862.66</v>
      </c>
      <c r="H258" s="252">
        <f>Données!H258</f>
        <v>31077.4</v>
      </c>
      <c r="I258" s="252">
        <f>Données!I258</f>
        <v>2076.15</v>
      </c>
      <c r="J258" s="252">
        <f>Données!J258</f>
        <v>286562.2</v>
      </c>
      <c r="K258" s="252">
        <f>Données!K258</f>
        <v>0</v>
      </c>
      <c r="L258" s="252">
        <f>Données!L258</f>
        <v>-5261.32</v>
      </c>
      <c r="M258" s="252">
        <f>Données!M258</f>
        <v>0</v>
      </c>
      <c r="N258" s="252">
        <f>Données!N258</f>
        <v>3086.55</v>
      </c>
      <c r="O258" s="252">
        <f>Données!O258</f>
        <v>273390.55</v>
      </c>
      <c r="P258" s="252">
        <f>Données!P258</f>
        <v>7226.5</v>
      </c>
      <c r="Q258" s="252">
        <f>Données!Q258</f>
        <v>3209.5</v>
      </c>
      <c r="R258" s="252">
        <f>Données!R258</f>
        <v>-1691.76</v>
      </c>
      <c r="S258" s="244"/>
      <c r="T258" s="236">
        <f t="shared" si="18"/>
        <v>2632374.2085890928</v>
      </c>
      <c r="U258" s="253">
        <f t="shared" si="19"/>
        <v>210300.42307692306</v>
      </c>
      <c r="V258" s="253">
        <f t="shared" si="20"/>
        <v>8744.24</v>
      </c>
      <c r="W258" s="254">
        <f t="shared" si="21"/>
        <v>2851418.8716660161</v>
      </c>
      <c r="X258" s="236">
        <f t="shared" si="22"/>
        <v>3703.141391774047</v>
      </c>
      <c r="Y258" s="255">
        <f t="shared" si="23"/>
        <v>1.0694272213562195</v>
      </c>
    </row>
    <row r="259" spans="1:25" x14ac:dyDescent="0.25">
      <c r="A259" s="111">
        <f>Données!A259</f>
        <v>5857</v>
      </c>
      <c r="B259" s="119" t="str">
        <f>Données!B259</f>
        <v>Gilly</v>
      </c>
      <c r="C259" s="249">
        <f>Données!C259</f>
        <v>1429</v>
      </c>
      <c r="D259" s="250">
        <f>Données!D259</f>
        <v>62.5</v>
      </c>
      <c r="E259" s="251">
        <f>Données!E259</f>
        <v>1</v>
      </c>
      <c r="F259" s="252">
        <f>Données!F259</f>
        <v>4756392.3899999997</v>
      </c>
      <c r="G259" s="252">
        <f>Données!G259</f>
        <v>723448.26</v>
      </c>
      <c r="H259" s="252">
        <f>Données!H259</f>
        <v>105761.25</v>
      </c>
      <c r="I259" s="252">
        <f>Données!I259</f>
        <v>14898.65</v>
      </c>
      <c r="J259" s="252">
        <f>Données!J259</f>
        <v>0</v>
      </c>
      <c r="K259" s="252">
        <f>Données!K259</f>
        <v>0</v>
      </c>
      <c r="L259" s="252">
        <f>Données!L259</f>
        <v>-21970.71</v>
      </c>
      <c r="M259" s="252">
        <f>Données!M259</f>
        <v>0</v>
      </c>
      <c r="N259" s="252">
        <f>Données!N259</f>
        <v>11233.27</v>
      </c>
      <c r="O259" s="252">
        <f>Données!O259</f>
        <v>430958.45</v>
      </c>
      <c r="P259" s="252">
        <f>Données!P259</f>
        <v>73608.259999999995</v>
      </c>
      <c r="Q259" s="252">
        <f>Données!Q259</f>
        <v>15892</v>
      </c>
      <c r="R259" s="252">
        <f>Données!R259</f>
        <v>-4117.1499999999996</v>
      </c>
      <c r="S259" s="244"/>
      <c r="T259" s="236">
        <f t="shared" si="18"/>
        <v>6020280.0633579893</v>
      </c>
      <c r="U259" s="253">
        <f t="shared" si="19"/>
        <v>430958.45</v>
      </c>
      <c r="V259" s="253">
        <f t="shared" si="20"/>
        <v>85383.11</v>
      </c>
      <c r="W259" s="254">
        <f t="shared" si="21"/>
        <v>6536621.6233579898</v>
      </c>
      <c r="X259" s="236">
        <f t="shared" si="22"/>
        <v>4574.2628574933451</v>
      </c>
      <c r="Y259" s="255">
        <f t="shared" si="23"/>
        <v>1.3209976881543151</v>
      </c>
    </row>
    <row r="260" spans="1:25" x14ac:dyDescent="0.25">
      <c r="A260" s="111">
        <f>Données!A260</f>
        <v>5858</v>
      </c>
      <c r="B260" s="119" t="str">
        <f>Données!B260</f>
        <v>Luins</v>
      </c>
      <c r="C260" s="249">
        <f>Données!C260</f>
        <v>640</v>
      </c>
      <c r="D260" s="250">
        <f>Données!D260</f>
        <v>58.5</v>
      </c>
      <c r="E260" s="251">
        <f>Données!E260</f>
        <v>1.5</v>
      </c>
      <c r="F260" s="252">
        <f>Données!F260</f>
        <v>1601381.86</v>
      </c>
      <c r="G260" s="252">
        <f>Données!G260</f>
        <v>225262.45</v>
      </c>
      <c r="H260" s="252">
        <f>Données!H260</f>
        <v>70035.399999999994</v>
      </c>
      <c r="I260" s="252">
        <f>Données!I260</f>
        <v>1483.1</v>
      </c>
      <c r="J260" s="252">
        <f>Données!J260</f>
        <v>41895.949999999997</v>
      </c>
      <c r="K260" s="252">
        <f>Données!K260</f>
        <v>59.21</v>
      </c>
      <c r="L260" s="252">
        <f>Données!L260</f>
        <v>-1651.76</v>
      </c>
      <c r="M260" s="252">
        <f>Données!M260</f>
        <v>0</v>
      </c>
      <c r="N260" s="252">
        <f>Données!N260</f>
        <v>6658.27</v>
      </c>
      <c r="O260" s="252">
        <f>Données!O260</f>
        <v>255898.45</v>
      </c>
      <c r="P260" s="252">
        <f>Données!P260</f>
        <v>72760.100000000006</v>
      </c>
      <c r="Q260" s="252">
        <f>Données!Q260</f>
        <v>1765.8</v>
      </c>
      <c r="R260" s="252">
        <f>Données!R260</f>
        <v>-3365.27</v>
      </c>
      <c r="S260" s="244"/>
      <c r="T260" s="236">
        <f t="shared" si="18"/>
        <v>2238179.1349411565</v>
      </c>
      <c r="U260" s="253">
        <f t="shared" si="19"/>
        <v>170598.96666666667</v>
      </c>
      <c r="V260" s="253">
        <f t="shared" si="20"/>
        <v>71160.63</v>
      </c>
      <c r="W260" s="254">
        <f t="shared" si="21"/>
        <v>2479938.7316078232</v>
      </c>
      <c r="X260" s="236">
        <f t="shared" si="22"/>
        <v>3874.9042681372239</v>
      </c>
      <c r="Y260" s="255">
        <f t="shared" si="23"/>
        <v>1.1190304841452825</v>
      </c>
    </row>
    <row r="261" spans="1:25" x14ac:dyDescent="0.25">
      <c r="A261" s="111">
        <f>Données!A261</f>
        <v>5859</v>
      </c>
      <c r="B261" s="119" t="str">
        <f>Données!B261</f>
        <v>Mont-sur-Rolle</v>
      </c>
      <c r="C261" s="249">
        <f>Données!C261</f>
        <v>2759</v>
      </c>
      <c r="D261" s="250">
        <f>Données!D261</f>
        <v>62</v>
      </c>
      <c r="E261" s="251">
        <f>Données!E261</f>
        <v>1</v>
      </c>
      <c r="F261" s="252">
        <f>Données!F261</f>
        <v>8250171.3200000003</v>
      </c>
      <c r="G261" s="252">
        <f>Données!G261</f>
        <v>1858134.11</v>
      </c>
      <c r="H261" s="252">
        <f>Données!H261</f>
        <v>114478.75</v>
      </c>
      <c r="I261" s="252">
        <f>Données!I261</f>
        <v>32324.05</v>
      </c>
      <c r="J261" s="252">
        <f>Données!J261</f>
        <v>524268</v>
      </c>
      <c r="K261" s="252">
        <f>Données!K261</f>
        <v>64276.44</v>
      </c>
      <c r="L261" s="252">
        <f>Données!L261</f>
        <v>-97322.5</v>
      </c>
      <c r="M261" s="252">
        <f>Données!M261</f>
        <v>0</v>
      </c>
      <c r="N261" s="252">
        <f>Données!N261</f>
        <v>13667.13</v>
      </c>
      <c r="O261" s="252">
        <f>Données!O261</f>
        <v>738721.5</v>
      </c>
      <c r="P261" s="252">
        <f>Données!P261</f>
        <v>118450.57</v>
      </c>
      <c r="Q261" s="252">
        <f>Données!Q261</f>
        <v>23452.55</v>
      </c>
      <c r="R261" s="252">
        <f>Données!R261</f>
        <v>-21361.599999999999</v>
      </c>
      <c r="S261" s="244"/>
      <c r="T261" s="236">
        <f t="shared" si="18"/>
        <v>11682177.000757083</v>
      </c>
      <c r="U261" s="253">
        <f t="shared" si="19"/>
        <v>738721.5</v>
      </c>
      <c r="V261" s="253">
        <f t="shared" si="20"/>
        <v>120541.51999999999</v>
      </c>
      <c r="W261" s="254">
        <f t="shared" si="21"/>
        <v>12541440.020757083</v>
      </c>
      <c r="X261" s="236">
        <f t="shared" si="22"/>
        <v>4545.6469810645458</v>
      </c>
      <c r="Y261" s="255">
        <f t="shared" si="23"/>
        <v>1.312733732237346</v>
      </c>
    </row>
    <row r="262" spans="1:25" x14ac:dyDescent="0.25">
      <c r="A262" s="111">
        <f>Données!A262</f>
        <v>5860</v>
      </c>
      <c r="B262" s="119" t="str">
        <f>Données!B262</f>
        <v>Perroy</v>
      </c>
      <c r="C262" s="249">
        <f>Données!C262</f>
        <v>1573</v>
      </c>
      <c r="D262" s="250">
        <f>Données!D262</f>
        <v>60.5</v>
      </c>
      <c r="E262" s="251">
        <f>Données!E262</f>
        <v>1.3</v>
      </c>
      <c r="F262" s="252">
        <f>Données!F262</f>
        <v>4650171.42</v>
      </c>
      <c r="G262" s="252">
        <f>Données!G262</f>
        <v>1310448.92</v>
      </c>
      <c r="H262" s="252">
        <f>Données!H262</f>
        <v>233898.7</v>
      </c>
      <c r="I262" s="252">
        <f>Données!I262</f>
        <v>22803.1</v>
      </c>
      <c r="J262" s="252">
        <f>Données!J262</f>
        <v>319203.20000000001</v>
      </c>
      <c r="K262" s="252">
        <f>Données!K262</f>
        <v>5000.62</v>
      </c>
      <c r="L262" s="252">
        <f>Données!L262</f>
        <v>-33310.410000000003</v>
      </c>
      <c r="M262" s="252">
        <f>Données!M262</f>
        <v>0</v>
      </c>
      <c r="N262" s="252">
        <f>Données!N262</f>
        <v>23898.58</v>
      </c>
      <c r="O262" s="252">
        <f>Données!O262</f>
        <v>759990.6</v>
      </c>
      <c r="P262" s="252">
        <f>Données!P262</f>
        <v>83446.759999999995</v>
      </c>
      <c r="Q262" s="252">
        <f>Données!Q262</f>
        <v>30646.400000000001</v>
      </c>
      <c r="R262" s="252">
        <f>Données!R262</f>
        <v>-46861.35</v>
      </c>
      <c r="S262" s="244"/>
      <c r="T262" s="236">
        <f t="shared" si="18"/>
        <v>7267778.7665545121</v>
      </c>
      <c r="U262" s="253">
        <f t="shared" si="19"/>
        <v>584608.15384615376</v>
      </c>
      <c r="V262" s="253">
        <f t="shared" si="20"/>
        <v>67231.81</v>
      </c>
      <c r="W262" s="254">
        <f t="shared" si="21"/>
        <v>7919618.7304006657</v>
      </c>
      <c r="X262" s="236">
        <f t="shared" si="22"/>
        <v>5034.722651240093</v>
      </c>
      <c r="Y262" s="255">
        <f t="shared" si="23"/>
        <v>1.4539735013022266</v>
      </c>
    </row>
    <row r="263" spans="1:25" x14ac:dyDescent="0.25">
      <c r="A263" s="111">
        <f>Données!A263</f>
        <v>5861</v>
      </c>
      <c r="B263" s="119" t="str">
        <f>Données!B263</f>
        <v>Rolle</v>
      </c>
      <c r="C263" s="249">
        <f>Données!C263</f>
        <v>6604</v>
      </c>
      <c r="D263" s="250">
        <f>Données!D263</f>
        <v>59.5</v>
      </c>
      <c r="E263" s="251">
        <f>Données!E263</f>
        <v>1</v>
      </c>
      <c r="F263" s="252">
        <f>Données!F263</f>
        <v>14796118.810000001</v>
      </c>
      <c r="G263" s="252">
        <f>Données!G263</f>
        <v>2917664.14</v>
      </c>
      <c r="H263" s="252">
        <f>Données!H263</f>
        <v>37251108.200000003</v>
      </c>
      <c r="I263" s="252">
        <f>Données!I263</f>
        <v>937314.2</v>
      </c>
      <c r="J263" s="252">
        <f>Données!J263</f>
        <v>448471.57</v>
      </c>
      <c r="K263" s="252">
        <f>Données!K263</f>
        <v>90293.78</v>
      </c>
      <c r="L263" s="252">
        <f>Données!L263</f>
        <v>-273928.93</v>
      </c>
      <c r="M263" s="252">
        <f>Données!M263</f>
        <v>0</v>
      </c>
      <c r="N263" s="252">
        <f>Données!N263</f>
        <v>3554395.75</v>
      </c>
      <c r="O263" s="252">
        <f>Données!O263</f>
        <v>2013348.1</v>
      </c>
      <c r="P263" s="252">
        <f>Données!P263</f>
        <v>744067.87</v>
      </c>
      <c r="Q263" s="252">
        <f>Données!Q263</f>
        <v>397009.85</v>
      </c>
      <c r="R263" s="252">
        <f>Données!R263</f>
        <v>-128760.05</v>
      </c>
      <c r="S263" s="244"/>
      <c r="T263" s="236">
        <f t="shared" si="18"/>
        <v>67564193.390993685</v>
      </c>
      <c r="U263" s="253">
        <f t="shared" si="19"/>
        <v>2013348.1</v>
      </c>
      <c r="V263" s="253">
        <f t="shared" si="20"/>
        <v>1012317.6699999999</v>
      </c>
      <c r="W263" s="254">
        <f t="shared" si="21"/>
        <v>70589859.16099368</v>
      </c>
      <c r="X263" s="236">
        <f t="shared" si="22"/>
        <v>10688.955051634415</v>
      </c>
      <c r="Y263" s="255">
        <f t="shared" si="23"/>
        <v>3.0868547243330324</v>
      </c>
    </row>
    <row r="264" spans="1:25" x14ac:dyDescent="0.25">
      <c r="A264" s="111">
        <f>Données!A264</f>
        <v>5862</v>
      </c>
      <c r="B264" s="119" t="str">
        <f>Données!B264</f>
        <v>Tartegnin</v>
      </c>
      <c r="C264" s="249">
        <f>Données!C264</f>
        <v>246</v>
      </c>
      <c r="D264" s="250">
        <f>Données!D264</f>
        <v>79</v>
      </c>
      <c r="E264" s="251">
        <f>Données!E264</f>
        <v>1</v>
      </c>
      <c r="F264" s="252">
        <f>Données!F264</f>
        <v>792696.54</v>
      </c>
      <c r="G264" s="252">
        <f>Données!G264</f>
        <v>74253.34</v>
      </c>
      <c r="H264" s="252">
        <f>Données!H264</f>
        <v>6141.45</v>
      </c>
      <c r="I264" s="252">
        <f>Données!I264</f>
        <v>2434.6</v>
      </c>
      <c r="J264" s="252">
        <f>Données!J264</f>
        <v>0</v>
      </c>
      <c r="K264" s="252">
        <f>Données!K264</f>
        <v>186.91</v>
      </c>
      <c r="L264" s="252">
        <f>Données!L264</f>
        <v>-12862.62</v>
      </c>
      <c r="M264" s="252">
        <f>Données!M264</f>
        <v>0</v>
      </c>
      <c r="N264" s="252">
        <f>Données!N264</f>
        <v>798.42</v>
      </c>
      <c r="O264" s="252">
        <f>Données!O264</f>
        <v>54056.800000000003</v>
      </c>
      <c r="P264" s="252">
        <f>Données!P264</f>
        <v>-53921.22</v>
      </c>
      <c r="Q264" s="252">
        <f>Données!Q264</f>
        <v>4105.3</v>
      </c>
      <c r="R264" s="252">
        <f>Données!R264</f>
        <v>0</v>
      </c>
      <c r="S264" s="244"/>
      <c r="T264" s="236">
        <f t="shared" ref="T264:T307" si="24">(SUM(F264:N264)/D264*$T$4)</f>
        <v>735890.6948613706</v>
      </c>
      <c r="U264" s="253">
        <f t="shared" ref="U264:U307" si="25">O264/E264*$U$4</f>
        <v>54056.800000000003</v>
      </c>
      <c r="V264" s="253">
        <f t="shared" ref="V264:V307" si="26">SUM(P264:R264)</f>
        <v>-49815.92</v>
      </c>
      <c r="W264" s="254">
        <f t="shared" ref="W264:W308" si="27">SUM(T264:V264)</f>
        <v>740131.57486137061</v>
      </c>
      <c r="X264" s="236">
        <f t="shared" ref="X264:X308" si="28">W264/C264</f>
        <v>3008.6649384608563</v>
      </c>
      <c r="Y264" s="255">
        <f t="shared" ref="Y264:Y308" si="29">X264/$X$308</f>
        <v>0.86886992548471353</v>
      </c>
    </row>
    <row r="265" spans="1:25" x14ac:dyDescent="0.25">
      <c r="A265" s="111">
        <f>Données!A265</f>
        <v>5863</v>
      </c>
      <c r="B265" s="119" t="str">
        <f>Données!B265</f>
        <v>Vinzel</v>
      </c>
      <c r="C265" s="249">
        <f>Données!C265</f>
        <v>385</v>
      </c>
      <c r="D265" s="250">
        <f>Données!D265</f>
        <v>65</v>
      </c>
      <c r="E265" s="251">
        <f>Données!E265</f>
        <v>1</v>
      </c>
      <c r="F265" s="252">
        <f>Données!F265</f>
        <v>977896.31</v>
      </c>
      <c r="G265" s="252">
        <f>Données!G265</f>
        <v>283325.07</v>
      </c>
      <c r="H265" s="252">
        <f>Données!H265</f>
        <v>-916.099999999999</v>
      </c>
      <c r="I265" s="252">
        <f>Données!I265</f>
        <v>9078.9500000000007</v>
      </c>
      <c r="J265" s="252">
        <f>Données!J265</f>
        <v>38816.35</v>
      </c>
      <c r="K265" s="252">
        <f>Données!K265</f>
        <v>0</v>
      </c>
      <c r="L265" s="252">
        <f>Données!L265</f>
        <v>-4922.3100000000004</v>
      </c>
      <c r="M265" s="252">
        <f>Données!M265</f>
        <v>0</v>
      </c>
      <c r="N265" s="252">
        <f>Données!N265</f>
        <v>759.95</v>
      </c>
      <c r="O265" s="252">
        <f>Données!O265</f>
        <v>99442.1</v>
      </c>
      <c r="P265" s="252">
        <f>Données!P265</f>
        <v>41473.99</v>
      </c>
      <c r="Q265" s="252">
        <f>Données!Q265</f>
        <v>2397.9</v>
      </c>
      <c r="R265" s="252">
        <f>Données!R265</f>
        <v>-8606.7000000000007</v>
      </c>
      <c r="S265" s="244"/>
      <c r="T265" s="236">
        <f t="shared" si="24"/>
        <v>1350455.4842951875</v>
      </c>
      <c r="U265" s="253">
        <f t="shared" si="25"/>
        <v>99442.1</v>
      </c>
      <c r="V265" s="253">
        <f t="shared" si="26"/>
        <v>35265.19</v>
      </c>
      <c r="W265" s="254">
        <f t="shared" si="27"/>
        <v>1485162.7742951876</v>
      </c>
      <c r="X265" s="236">
        <f t="shared" si="28"/>
        <v>3857.5656475199676</v>
      </c>
      <c r="Y265" s="255">
        <f t="shared" si="29"/>
        <v>1.1140232778554953</v>
      </c>
    </row>
    <row r="266" spans="1:25" x14ac:dyDescent="0.25">
      <c r="A266" s="111">
        <f>Données!A266</f>
        <v>5871</v>
      </c>
      <c r="B266" s="119" t="str">
        <f>Données!B266</f>
        <v>L'Abbaye</v>
      </c>
      <c r="C266" s="249">
        <f>Données!C266</f>
        <v>1599</v>
      </c>
      <c r="D266" s="250">
        <f>Données!D266</f>
        <v>77.107146583535652</v>
      </c>
      <c r="E266" s="251">
        <f>Données!E266</f>
        <v>1</v>
      </c>
      <c r="F266" s="252">
        <f>Données!F266</f>
        <v>2924963.91</v>
      </c>
      <c r="G266" s="252">
        <f>Données!G266</f>
        <v>537019.27</v>
      </c>
      <c r="H266" s="252">
        <f>Données!H266</f>
        <v>95645.35</v>
      </c>
      <c r="I266" s="252">
        <f>Données!I266</f>
        <v>14616.85</v>
      </c>
      <c r="J266" s="252">
        <f>Données!J266</f>
        <v>0</v>
      </c>
      <c r="K266" s="252">
        <f>Données!K266</f>
        <v>5087.09</v>
      </c>
      <c r="L266" s="252">
        <f>Données!L266</f>
        <v>-46070.22</v>
      </c>
      <c r="M266" s="252">
        <f>Données!M266</f>
        <v>0</v>
      </c>
      <c r="N266" s="252">
        <f>Données!N266</f>
        <v>10265.26</v>
      </c>
      <c r="O266" s="252">
        <f>Données!O266</f>
        <v>316979.69999999995</v>
      </c>
      <c r="P266" s="252">
        <f>Données!P266</f>
        <v>92015.41</v>
      </c>
      <c r="Q266" s="252">
        <f>Données!Q266</f>
        <v>6389.45</v>
      </c>
      <c r="R266" s="252">
        <f>Données!R266</f>
        <v>-327.20999999999998</v>
      </c>
      <c r="S266" s="244"/>
      <c r="T266" s="236">
        <f t="shared" si="24"/>
        <v>3091713.88885959</v>
      </c>
      <c r="U266" s="253">
        <f t="shared" si="25"/>
        <v>316979.69999999995</v>
      </c>
      <c r="V266" s="253">
        <f t="shared" si="26"/>
        <v>98077.65</v>
      </c>
      <c r="W266" s="254">
        <f t="shared" si="27"/>
        <v>3506771.2388595897</v>
      </c>
      <c r="X266" s="236">
        <f t="shared" si="28"/>
        <v>2193.1027134831706</v>
      </c>
      <c r="Y266" s="255">
        <f t="shared" si="29"/>
        <v>0.63334436709301822</v>
      </c>
    </row>
    <row r="267" spans="1:25" x14ac:dyDescent="0.25">
      <c r="A267" s="111">
        <f>Données!A267</f>
        <v>5872</v>
      </c>
      <c r="B267" s="119" t="str">
        <f>Données!B267</f>
        <v>Le Chenit</v>
      </c>
      <c r="C267" s="249">
        <f>Données!C267</f>
        <v>4792</v>
      </c>
      <c r="D267" s="250">
        <f>Données!D267</f>
        <v>66.361546221835468</v>
      </c>
      <c r="E267" s="251">
        <f>Données!E267</f>
        <v>1</v>
      </c>
      <c r="F267" s="252">
        <f>Données!F267</f>
        <v>6942349.0700000003</v>
      </c>
      <c r="G267" s="252">
        <f>Données!G267</f>
        <v>1012829.68</v>
      </c>
      <c r="H267" s="252">
        <f>Données!H267</f>
        <v>13183180.549999999</v>
      </c>
      <c r="I267" s="252">
        <f>Données!I267</f>
        <v>867.05000000000155</v>
      </c>
      <c r="J267" s="252">
        <f>Données!J267</f>
        <v>0</v>
      </c>
      <c r="K267" s="252">
        <f>Données!K267</f>
        <v>44307.090000000004</v>
      </c>
      <c r="L267" s="252">
        <f>Données!L267</f>
        <v>-103782.81999999999</v>
      </c>
      <c r="M267" s="252">
        <f>Données!M267</f>
        <v>0</v>
      </c>
      <c r="N267" s="252">
        <f>Données!N267</f>
        <v>1227416.32</v>
      </c>
      <c r="O267" s="252">
        <f>Données!O267</f>
        <v>938356.1</v>
      </c>
      <c r="P267" s="252">
        <f>Données!P267</f>
        <v>613347.54</v>
      </c>
      <c r="Q267" s="252">
        <f>Données!Q267</f>
        <v>81365.2</v>
      </c>
      <c r="R267" s="252">
        <f>Données!R267</f>
        <v>-7390.45</v>
      </c>
      <c r="S267" s="244"/>
      <c r="T267" s="236">
        <f t="shared" si="24"/>
        <v>22627221.600203101</v>
      </c>
      <c r="U267" s="253">
        <f t="shared" si="25"/>
        <v>938356.1</v>
      </c>
      <c r="V267" s="253">
        <f t="shared" si="26"/>
        <v>687322.29</v>
      </c>
      <c r="W267" s="254">
        <f t="shared" si="27"/>
        <v>24252899.990203101</v>
      </c>
      <c r="X267" s="236">
        <f t="shared" si="28"/>
        <v>5061.1227024630844</v>
      </c>
      <c r="Y267" s="255">
        <f t="shared" si="29"/>
        <v>1.4615975508418364</v>
      </c>
    </row>
    <row r="268" spans="1:25" x14ac:dyDescent="0.25">
      <c r="A268" s="111">
        <f>Données!A268</f>
        <v>5873</v>
      </c>
      <c r="B268" s="119" t="str">
        <f>Données!B268</f>
        <v>Le Lieu</v>
      </c>
      <c r="C268" s="249">
        <f>Données!C268</f>
        <v>926</v>
      </c>
      <c r="D268" s="250">
        <f>Données!D268</f>
        <v>70</v>
      </c>
      <c r="E268" s="251">
        <f>Données!E268</f>
        <v>0.8</v>
      </c>
      <c r="F268" s="252">
        <f>Données!F268</f>
        <v>1425488.26</v>
      </c>
      <c r="G268" s="252">
        <f>Données!G268</f>
        <v>406747.12</v>
      </c>
      <c r="H268" s="252">
        <f>Données!H268</f>
        <v>50507.7</v>
      </c>
      <c r="I268" s="252">
        <f>Données!I268</f>
        <v>18039.150000000001</v>
      </c>
      <c r="J268" s="252">
        <f>Données!J268</f>
        <v>0</v>
      </c>
      <c r="K268" s="252">
        <f>Données!K268</f>
        <v>1646.11</v>
      </c>
      <c r="L268" s="252">
        <f>Données!L268</f>
        <v>-10631.87</v>
      </c>
      <c r="M268" s="252">
        <f>Données!M268</f>
        <v>0</v>
      </c>
      <c r="N268" s="252">
        <f>Données!N268</f>
        <v>6381.62</v>
      </c>
      <c r="O268" s="252">
        <f>Données!O268</f>
        <v>131476</v>
      </c>
      <c r="P268" s="252">
        <f>Données!P268</f>
        <v>49939.360000000001</v>
      </c>
      <c r="Q268" s="252">
        <f>Données!Q268</f>
        <v>0</v>
      </c>
      <c r="R268" s="252">
        <f>Données!R268</f>
        <v>-418.05</v>
      </c>
      <c r="S268" s="244"/>
      <c r="T268" s="236">
        <f t="shared" si="24"/>
        <v>1825333.504276488</v>
      </c>
      <c r="U268" s="253">
        <f t="shared" si="25"/>
        <v>164345</v>
      </c>
      <c r="V268" s="253">
        <f t="shared" si="26"/>
        <v>49521.31</v>
      </c>
      <c r="W268" s="254">
        <f t="shared" si="27"/>
        <v>2039199.814276488</v>
      </c>
      <c r="X268" s="236">
        <f t="shared" si="28"/>
        <v>2202.1596266484753</v>
      </c>
      <c r="Y268" s="255">
        <f t="shared" si="29"/>
        <v>0.63595990575485584</v>
      </c>
    </row>
    <row r="269" spans="1:25" x14ac:dyDescent="0.25">
      <c r="A269" s="111">
        <f>Données!A269</f>
        <v>5882</v>
      </c>
      <c r="B269" s="119" t="str">
        <f>Données!B269</f>
        <v>Chardonne</v>
      </c>
      <c r="C269" s="249">
        <f>Données!C269</f>
        <v>3384</v>
      </c>
      <c r="D269" s="250">
        <f>Données!D269</f>
        <v>68</v>
      </c>
      <c r="E269" s="251">
        <f>Données!E269</f>
        <v>1</v>
      </c>
      <c r="F269" s="252">
        <f>Données!F269</f>
        <v>9317767.5199999996</v>
      </c>
      <c r="G269" s="252">
        <f>Données!G269</f>
        <v>2275436.88</v>
      </c>
      <c r="H269" s="252">
        <f>Données!H269</f>
        <v>29810.05</v>
      </c>
      <c r="I269" s="252">
        <f>Données!I269</f>
        <v>24140.9</v>
      </c>
      <c r="J269" s="252">
        <f>Données!J269</f>
        <v>578924.05000000005</v>
      </c>
      <c r="K269" s="252">
        <f>Données!K269</f>
        <v>29328.77</v>
      </c>
      <c r="L269" s="252">
        <f>Données!L269</f>
        <v>-177276.21</v>
      </c>
      <c r="M269" s="252">
        <f>Données!M269</f>
        <v>0</v>
      </c>
      <c r="N269" s="252">
        <f>Données!N269</f>
        <v>5022.76</v>
      </c>
      <c r="O269" s="252">
        <f>Données!O269</f>
        <v>1117550.5900000001</v>
      </c>
      <c r="P269" s="252">
        <f>Données!P269</f>
        <v>269612.09999999998</v>
      </c>
      <c r="Q269" s="252">
        <f>Données!Q269</f>
        <v>76914.3</v>
      </c>
      <c r="R269" s="252">
        <f>Données!R269</f>
        <v>-57535.29</v>
      </c>
      <c r="S269" s="244"/>
      <c r="T269" s="236">
        <f t="shared" si="24"/>
        <v>11961199.472998813</v>
      </c>
      <c r="U269" s="253">
        <f t="shared" si="25"/>
        <v>1117550.5900000001</v>
      </c>
      <c r="V269" s="253">
        <f t="shared" si="26"/>
        <v>288991.11</v>
      </c>
      <c r="W269" s="254">
        <f t="shared" si="27"/>
        <v>13367741.172998812</v>
      </c>
      <c r="X269" s="236">
        <f t="shared" si="28"/>
        <v>3950.2781244086323</v>
      </c>
      <c r="Y269" s="255">
        <f t="shared" si="29"/>
        <v>1.1407976394189889</v>
      </c>
    </row>
    <row r="270" spans="1:25" x14ac:dyDescent="0.25">
      <c r="A270" s="111">
        <f>Données!A270</f>
        <v>5883</v>
      </c>
      <c r="B270" s="119" t="str">
        <f>Données!B270</f>
        <v>Corseaux</v>
      </c>
      <c r="C270" s="249">
        <f>Données!C270</f>
        <v>2326</v>
      </c>
      <c r="D270" s="250">
        <f>Données!D270</f>
        <v>67.5</v>
      </c>
      <c r="E270" s="251">
        <f>Données!E270</f>
        <v>1</v>
      </c>
      <c r="F270" s="252">
        <f>Données!F270</f>
        <v>9549820.9700000007</v>
      </c>
      <c r="G270" s="252">
        <f>Données!G270</f>
        <v>2280272.7400000002</v>
      </c>
      <c r="H270" s="252">
        <f>Données!H270</f>
        <v>138250.5</v>
      </c>
      <c r="I270" s="252">
        <f>Données!I270</f>
        <v>8245.85</v>
      </c>
      <c r="J270" s="252">
        <f>Données!J270</f>
        <v>610460</v>
      </c>
      <c r="K270" s="252">
        <f>Données!K270</f>
        <v>6928.09</v>
      </c>
      <c r="L270" s="252">
        <f>Données!L270</f>
        <v>-34956.339999999997</v>
      </c>
      <c r="M270" s="252">
        <f>Données!M270</f>
        <v>0</v>
      </c>
      <c r="N270" s="252">
        <f>Données!N270</f>
        <v>13636.56</v>
      </c>
      <c r="O270" s="252">
        <f>Données!O270</f>
        <v>765723.35</v>
      </c>
      <c r="P270" s="252">
        <f>Données!P270</f>
        <v>-2405.46</v>
      </c>
      <c r="Q270" s="252">
        <f>Données!Q270</f>
        <v>20965.3</v>
      </c>
      <c r="R270" s="252">
        <f>Données!R270</f>
        <v>-40695.089999999997</v>
      </c>
      <c r="S270" s="244"/>
      <c r="T270" s="236">
        <f t="shared" si="24"/>
        <v>12537953.397827605</v>
      </c>
      <c r="U270" s="253">
        <f t="shared" si="25"/>
        <v>765723.35</v>
      </c>
      <c r="V270" s="253">
        <f t="shared" si="26"/>
        <v>-22135.249999999996</v>
      </c>
      <c r="W270" s="254">
        <f t="shared" si="27"/>
        <v>13281541.497827604</v>
      </c>
      <c r="X270" s="236">
        <f t="shared" si="28"/>
        <v>5710.035037759073</v>
      </c>
      <c r="Y270" s="255">
        <f t="shared" si="29"/>
        <v>1.6489964217520585</v>
      </c>
    </row>
    <row r="271" spans="1:25" x14ac:dyDescent="0.25">
      <c r="A271" s="111">
        <f>Données!A271</f>
        <v>5884</v>
      </c>
      <c r="B271" s="119" t="str">
        <f>Données!B271</f>
        <v>Corsier-sur-Vevey</v>
      </c>
      <c r="C271" s="249">
        <f>Données!C271</f>
        <v>3458</v>
      </c>
      <c r="D271" s="250">
        <f>Données!D271</f>
        <v>64.5</v>
      </c>
      <c r="E271" s="251">
        <f>Données!E271</f>
        <v>1.2</v>
      </c>
      <c r="F271" s="252">
        <f>Données!F271</f>
        <v>5347561.92</v>
      </c>
      <c r="G271" s="252">
        <f>Données!G271</f>
        <v>898962.83</v>
      </c>
      <c r="H271" s="252">
        <f>Données!H271</f>
        <v>7728833.9000000004</v>
      </c>
      <c r="I271" s="252">
        <f>Données!I271</f>
        <v>63397.8</v>
      </c>
      <c r="J271" s="252">
        <f>Données!J271</f>
        <v>33544.35</v>
      </c>
      <c r="K271" s="252">
        <f>Données!K271</f>
        <v>12755.77</v>
      </c>
      <c r="L271" s="252">
        <f>Données!L271</f>
        <v>-70591.759999999995</v>
      </c>
      <c r="M271" s="252">
        <f>Données!M271</f>
        <v>0</v>
      </c>
      <c r="N271" s="252">
        <f>Données!N271</f>
        <v>725445.83</v>
      </c>
      <c r="O271" s="252">
        <f>Données!O271</f>
        <v>1026324.95</v>
      </c>
      <c r="P271" s="252">
        <f>Données!P271</f>
        <v>131665.13</v>
      </c>
      <c r="Q271" s="252">
        <f>Données!Q271</f>
        <v>196337.9</v>
      </c>
      <c r="R271" s="252">
        <f>Données!R271</f>
        <v>-1905.41</v>
      </c>
      <c r="S271" s="244"/>
      <c r="T271" s="236">
        <f t="shared" si="24"/>
        <v>15382908.091101766</v>
      </c>
      <c r="U271" s="253">
        <f t="shared" si="25"/>
        <v>855270.79166666663</v>
      </c>
      <c r="V271" s="253">
        <f t="shared" si="26"/>
        <v>326097.62000000005</v>
      </c>
      <c r="W271" s="254">
        <f t="shared" si="27"/>
        <v>16564276.502768431</v>
      </c>
      <c r="X271" s="236">
        <f t="shared" si="28"/>
        <v>4790.1320135247051</v>
      </c>
      <c r="Y271" s="255">
        <f t="shared" si="29"/>
        <v>1.3833383679414657</v>
      </c>
    </row>
    <row r="272" spans="1:25" x14ac:dyDescent="0.25">
      <c r="A272" s="111">
        <f>Données!A272</f>
        <v>5885</v>
      </c>
      <c r="B272" s="119" t="str">
        <f>Données!B272</f>
        <v>Jongny</v>
      </c>
      <c r="C272" s="249">
        <f>Données!C272</f>
        <v>1917</v>
      </c>
      <c r="D272" s="250">
        <f>Données!D272</f>
        <v>69.5</v>
      </c>
      <c r="E272" s="251">
        <f>Données!E272</f>
        <v>1.2</v>
      </c>
      <c r="F272" s="252">
        <f>Données!F272</f>
        <v>5752109.2199999997</v>
      </c>
      <c r="G272" s="252">
        <f>Données!G272</f>
        <v>936908.24</v>
      </c>
      <c r="H272" s="252">
        <f>Données!H272</f>
        <v>30337.4</v>
      </c>
      <c r="I272" s="252">
        <f>Données!I272</f>
        <v>13641</v>
      </c>
      <c r="J272" s="252">
        <f>Données!J272</f>
        <v>-22067.7</v>
      </c>
      <c r="K272" s="252">
        <f>Données!K272</f>
        <v>31119.35</v>
      </c>
      <c r="L272" s="252">
        <f>Données!L272</f>
        <v>-57625.23</v>
      </c>
      <c r="M272" s="252">
        <f>Données!M272</f>
        <v>0</v>
      </c>
      <c r="N272" s="252">
        <f>Données!N272</f>
        <v>4024.77</v>
      </c>
      <c r="O272" s="252">
        <f>Données!O272</f>
        <v>610938.25</v>
      </c>
      <c r="P272" s="252">
        <f>Données!P272</f>
        <v>9926.0300000000007</v>
      </c>
      <c r="Q272" s="252">
        <f>Données!Q272</f>
        <v>25806.55</v>
      </c>
      <c r="R272" s="252">
        <f>Données!R272</f>
        <v>-6867.75</v>
      </c>
      <c r="S272" s="244"/>
      <c r="T272" s="236">
        <f t="shared" si="24"/>
        <v>6478042.5745483739</v>
      </c>
      <c r="U272" s="253">
        <f t="shared" si="25"/>
        <v>509115.20833333337</v>
      </c>
      <c r="V272" s="253">
        <f t="shared" si="26"/>
        <v>28864.83</v>
      </c>
      <c r="W272" s="254">
        <f t="shared" si="27"/>
        <v>7016022.612881707</v>
      </c>
      <c r="X272" s="236">
        <f t="shared" si="28"/>
        <v>3659.8970333237908</v>
      </c>
      <c r="Y272" s="255">
        <f t="shared" si="29"/>
        <v>1.0569387178927763</v>
      </c>
    </row>
    <row r="273" spans="1:25" x14ac:dyDescent="0.25">
      <c r="A273" s="111">
        <f>Données!A273</f>
        <v>5886</v>
      </c>
      <c r="B273" s="119" t="str">
        <f>Données!B273</f>
        <v>Montreux</v>
      </c>
      <c r="C273" s="249">
        <f>Données!C273</f>
        <v>27166</v>
      </c>
      <c r="D273" s="250">
        <f>Données!D273</f>
        <v>65</v>
      </c>
      <c r="E273" s="251">
        <f>Données!E273</f>
        <v>1.5</v>
      </c>
      <c r="F273" s="252">
        <f>Données!F273</f>
        <v>46140525.579999998</v>
      </c>
      <c r="G273" s="252">
        <f>Données!G273</f>
        <v>12737531.18</v>
      </c>
      <c r="H273" s="252">
        <f>Données!H273</f>
        <v>5398586.0499999998</v>
      </c>
      <c r="I273" s="252">
        <f>Données!I273</f>
        <v>797577.95</v>
      </c>
      <c r="J273" s="252">
        <f>Données!J273</f>
        <v>4606914.45</v>
      </c>
      <c r="K273" s="252">
        <f>Données!K273</f>
        <v>308296.63</v>
      </c>
      <c r="L273" s="252">
        <f>Données!L273</f>
        <v>-1296031.3700000001</v>
      </c>
      <c r="M273" s="252">
        <f>Données!M273</f>
        <v>0</v>
      </c>
      <c r="N273" s="252">
        <f>Données!N273</f>
        <v>581053.07999999996</v>
      </c>
      <c r="O273" s="252">
        <f>Données!O273</f>
        <v>11937114.800000001</v>
      </c>
      <c r="P273" s="252">
        <f>Données!P273</f>
        <v>2367599.7000000002</v>
      </c>
      <c r="Q273" s="252">
        <f>Données!Q273</f>
        <v>666113.4</v>
      </c>
      <c r="R273" s="252">
        <f>Données!R273</f>
        <v>-258260.12</v>
      </c>
      <c r="S273" s="244"/>
      <c r="T273" s="236">
        <f t="shared" si="24"/>
        <v>71740278.991324127</v>
      </c>
      <c r="U273" s="253">
        <f t="shared" si="25"/>
        <v>7958076.5333333341</v>
      </c>
      <c r="V273" s="253">
        <f t="shared" si="26"/>
        <v>2775452.98</v>
      </c>
      <c r="W273" s="254">
        <f t="shared" si="27"/>
        <v>82473808.504657462</v>
      </c>
      <c r="X273" s="236">
        <f t="shared" si="28"/>
        <v>3035.9202129374021</v>
      </c>
      <c r="Y273" s="255">
        <f t="shared" si="29"/>
        <v>0.87674095425922927</v>
      </c>
    </row>
    <row r="274" spans="1:25" x14ac:dyDescent="0.25">
      <c r="A274" s="111">
        <f>Données!A274</f>
        <v>5889</v>
      </c>
      <c r="B274" s="119" t="str">
        <f>Données!B274</f>
        <v>La Tour-de-Peilz</v>
      </c>
      <c r="C274" s="249">
        <f>Données!C274</f>
        <v>13053</v>
      </c>
      <c r="D274" s="250">
        <f>Données!D274</f>
        <v>64</v>
      </c>
      <c r="E274" s="251">
        <f>Données!E274</f>
        <v>1.2</v>
      </c>
      <c r="F274" s="252">
        <f>Données!F274</f>
        <v>28706081.02</v>
      </c>
      <c r="G274" s="252">
        <f>Données!G274</f>
        <v>6025771.6900000004</v>
      </c>
      <c r="H274" s="252">
        <f>Données!H274</f>
        <v>13491274.550000001</v>
      </c>
      <c r="I274" s="252">
        <f>Données!I274</f>
        <v>-564153.85</v>
      </c>
      <c r="J274" s="252">
        <f>Données!J274</f>
        <v>1008399.46</v>
      </c>
      <c r="K274" s="252">
        <f>Données!K274</f>
        <v>71653.8</v>
      </c>
      <c r="L274" s="252">
        <f>Données!L274</f>
        <v>-282641.96000000002</v>
      </c>
      <c r="M274" s="252">
        <f>Données!M274</f>
        <v>0</v>
      </c>
      <c r="N274" s="252">
        <f>Données!N274</f>
        <v>829924.7</v>
      </c>
      <c r="O274" s="252">
        <f>Données!O274</f>
        <v>3547197.85</v>
      </c>
      <c r="P274" s="252">
        <f>Données!P274</f>
        <v>898670.21</v>
      </c>
      <c r="Q274" s="252">
        <f>Données!Q274</f>
        <v>311366.90000000002</v>
      </c>
      <c r="R274" s="252">
        <f>Données!R274</f>
        <v>-4134779.33</v>
      </c>
      <c r="S274" s="244"/>
      <c r="T274" s="236">
        <f t="shared" si="24"/>
        <v>51838166.752759904</v>
      </c>
      <c r="U274" s="253">
        <f t="shared" si="25"/>
        <v>2955998.2083333335</v>
      </c>
      <c r="V274" s="253">
        <f t="shared" si="26"/>
        <v>-2924742.22</v>
      </c>
      <c r="W274" s="254">
        <f t="shared" si="27"/>
        <v>51869422.741093241</v>
      </c>
      <c r="X274" s="236">
        <f t="shared" si="28"/>
        <v>3973.7549024050595</v>
      </c>
      <c r="Y274" s="255">
        <f t="shared" si="29"/>
        <v>1.1475774792368492</v>
      </c>
    </row>
    <row r="275" spans="1:25" x14ac:dyDescent="0.25">
      <c r="A275" s="111">
        <f>Données!A275</f>
        <v>5890</v>
      </c>
      <c r="B275" s="119" t="str">
        <f>Données!B275</f>
        <v>Vevey</v>
      </c>
      <c r="C275" s="249">
        <f>Données!C275</f>
        <v>20179</v>
      </c>
      <c r="D275" s="250">
        <f>Données!D275</f>
        <v>74.5</v>
      </c>
      <c r="E275" s="251">
        <f>Données!E275</f>
        <v>1.5</v>
      </c>
      <c r="F275" s="252">
        <f>Données!F275</f>
        <v>39300302.289999999</v>
      </c>
      <c r="G275" s="252">
        <f>Données!G275</f>
        <v>6997932.2800000003</v>
      </c>
      <c r="H275" s="252">
        <f>Données!H275</f>
        <v>35304407.75</v>
      </c>
      <c r="I275" s="252">
        <f>Données!I275</f>
        <v>-1079745.75</v>
      </c>
      <c r="J275" s="252">
        <f>Données!J275</f>
        <v>212346.25</v>
      </c>
      <c r="K275" s="252">
        <f>Données!K275</f>
        <v>188047.99</v>
      </c>
      <c r="L275" s="252">
        <f>Données!L275</f>
        <v>-746108.31</v>
      </c>
      <c r="M275" s="252">
        <f>Données!M275</f>
        <v>0</v>
      </c>
      <c r="N275" s="252">
        <f>Données!N275</f>
        <v>2439202.94</v>
      </c>
      <c r="O275" s="252">
        <f>Données!O275</f>
        <v>6313744.1699999999</v>
      </c>
      <c r="P275" s="252">
        <f>Données!P275</f>
        <v>3451233.87</v>
      </c>
      <c r="Q275" s="252">
        <f>Données!Q275</f>
        <v>622499.19999999995</v>
      </c>
      <c r="R275" s="252">
        <f>Données!R275</f>
        <v>-8099728.5</v>
      </c>
      <c r="S275" s="244"/>
      <c r="T275" s="236">
        <f t="shared" si="24"/>
        <v>74647149.227053687</v>
      </c>
      <c r="U275" s="253">
        <f t="shared" si="25"/>
        <v>4209162.78</v>
      </c>
      <c r="V275" s="253">
        <f t="shared" si="26"/>
        <v>-4025995.4299999997</v>
      </c>
      <c r="W275" s="254">
        <f t="shared" si="27"/>
        <v>74830316.577053696</v>
      </c>
      <c r="X275" s="236">
        <f t="shared" si="28"/>
        <v>3708.3263083925713</v>
      </c>
      <c r="Y275" s="255">
        <f t="shared" si="29"/>
        <v>1.0709245692524216</v>
      </c>
    </row>
    <row r="276" spans="1:25" x14ac:dyDescent="0.25">
      <c r="A276" s="111">
        <f>Données!A276</f>
        <v>5891</v>
      </c>
      <c r="B276" s="119" t="str">
        <f>Données!B276</f>
        <v>Veytaux</v>
      </c>
      <c r="C276" s="249">
        <f>Données!C276</f>
        <v>1008</v>
      </c>
      <c r="D276" s="250">
        <f>Données!D276</f>
        <v>65</v>
      </c>
      <c r="E276" s="251">
        <f>Données!E276</f>
        <v>1.5</v>
      </c>
      <c r="F276" s="252">
        <f>Données!F276</f>
        <v>1551501.95</v>
      </c>
      <c r="G276" s="252">
        <f>Données!G276</f>
        <v>358885.76</v>
      </c>
      <c r="H276" s="252">
        <f>Données!H276</f>
        <v>198614.1</v>
      </c>
      <c r="I276" s="252">
        <f>Données!I276</f>
        <v>-73600.350000000006</v>
      </c>
      <c r="J276" s="252">
        <f>Données!J276</f>
        <v>0</v>
      </c>
      <c r="K276" s="252">
        <f>Données!K276</f>
        <v>7921.3</v>
      </c>
      <c r="L276" s="252">
        <f>Données!L276</f>
        <v>-71091.740000000005</v>
      </c>
      <c r="M276" s="252">
        <f>Données!M276</f>
        <v>0</v>
      </c>
      <c r="N276" s="252">
        <f>Données!N276</f>
        <v>11638.6</v>
      </c>
      <c r="O276" s="252">
        <f>Données!O276</f>
        <v>481217.95</v>
      </c>
      <c r="P276" s="252">
        <f>Données!P276</f>
        <v>114796.91</v>
      </c>
      <c r="Q276" s="252">
        <f>Données!Q276</f>
        <v>19762.349999999999</v>
      </c>
      <c r="R276" s="252">
        <f>Données!R276</f>
        <v>-3925.2</v>
      </c>
      <c r="S276" s="244"/>
      <c r="T276" s="236">
        <f t="shared" si="24"/>
        <v>2054485.4954140915</v>
      </c>
      <c r="U276" s="253">
        <f t="shared" si="25"/>
        <v>320811.96666666667</v>
      </c>
      <c r="V276" s="253">
        <f t="shared" si="26"/>
        <v>130634.06000000001</v>
      </c>
      <c r="W276" s="254">
        <f t="shared" si="27"/>
        <v>2505931.5220807581</v>
      </c>
      <c r="X276" s="236">
        <f t="shared" si="28"/>
        <v>2486.0431766674187</v>
      </c>
      <c r="Y276" s="255">
        <f t="shared" si="29"/>
        <v>0.71794240762742334</v>
      </c>
    </row>
    <row r="277" spans="1:25" x14ac:dyDescent="0.25">
      <c r="A277" s="111">
        <f>Données!A277</f>
        <v>5892</v>
      </c>
      <c r="B277" s="119" t="str">
        <f>Données!B277</f>
        <v>Blonay-Saint-Légier</v>
      </c>
      <c r="C277" s="249">
        <f>Données!C277</f>
        <v>12597</v>
      </c>
      <c r="D277" s="250">
        <f>Données!D277</f>
        <v>67.5</v>
      </c>
      <c r="E277" s="251">
        <f>Données!E277</f>
        <v>1</v>
      </c>
      <c r="F277" s="252">
        <f>Données!F277</f>
        <v>36615278.850000001</v>
      </c>
      <c r="G277" s="252">
        <f>Données!G277</f>
        <v>8350715.9000000004</v>
      </c>
      <c r="H277" s="252">
        <f>Données!H277</f>
        <v>693933.1</v>
      </c>
      <c r="I277" s="252">
        <f>Données!I277</f>
        <v>150279.70000000001</v>
      </c>
      <c r="J277" s="252">
        <f>Données!J277</f>
        <v>976964.13</v>
      </c>
      <c r="K277" s="252">
        <f>Données!K277</f>
        <v>178666.93</v>
      </c>
      <c r="L277" s="252">
        <f>Données!L277</f>
        <v>-437983.27</v>
      </c>
      <c r="M277" s="252">
        <f>Données!M277</f>
        <v>0</v>
      </c>
      <c r="N277" s="252">
        <f>Données!N277</f>
        <v>78487.570000000007</v>
      </c>
      <c r="O277" s="252">
        <f>Données!O277</f>
        <v>3852424.55</v>
      </c>
      <c r="P277" s="252">
        <f>Données!P277</f>
        <v>210834.31</v>
      </c>
      <c r="Q277" s="252">
        <f>Données!Q277</f>
        <v>180357.7</v>
      </c>
      <c r="R277" s="252">
        <f>Données!R277</f>
        <v>-343710.38</v>
      </c>
      <c r="S277" s="244"/>
      <c r="T277" s="236">
        <f t="shared" si="24"/>
        <v>46477692.962936446</v>
      </c>
      <c r="U277" s="253">
        <f t="shared" si="25"/>
        <v>3852424.55</v>
      </c>
      <c r="V277" s="253">
        <f t="shared" si="26"/>
        <v>47481.630000000005</v>
      </c>
      <c r="W277" s="254">
        <f t="shared" si="27"/>
        <v>50377599.142936446</v>
      </c>
      <c r="X277" s="236">
        <f t="shared" si="28"/>
        <v>3999.1743385676309</v>
      </c>
      <c r="Y277" s="255">
        <f t="shared" si="29"/>
        <v>1.154918337742594</v>
      </c>
    </row>
    <row r="278" spans="1:25" x14ac:dyDescent="0.25">
      <c r="A278" s="111">
        <f>Données!A278</f>
        <v>5902</v>
      </c>
      <c r="B278" s="119" t="str">
        <f>Données!B278</f>
        <v>Belmont-sur-Yverdon</v>
      </c>
      <c r="C278" s="249">
        <f>Données!C278</f>
        <v>457</v>
      </c>
      <c r="D278" s="250">
        <f>Données!D278</f>
        <v>70</v>
      </c>
      <c r="E278" s="251">
        <f>Données!E278</f>
        <v>1</v>
      </c>
      <c r="F278" s="252">
        <f>Données!F278</f>
        <v>627042.93999999994</v>
      </c>
      <c r="G278" s="252">
        <f>Données!G278</f>
        <v>73345.679999999993</v>
      </c>
      <c r="H278" s="252">
        <f>Données!H278</f>
        <v>-1304.7</v>
      </c>
      <c r="I278" s="252">
        <f>Données!I278</f>
        <v>1431.5</v>
      </c>
      <c r="J278" s="252">
        <f>Données!J278</f>
        <v>0</v>
      </c>
      <c r="K278" s="252">
        <f>Données!K278</f>
        <v>0</v>
      </c>
      <c r="L278" s="252">
        <f>Données!L278</f>
        <v>-2763.52</v>
      </c>
      <c r="M278" s="252">
        <f>Données!M278</f>
        <v>0</v>
      </c>
      <c r="N278" s="252">
        <f>Données!N278</f>
        <v>11.8</v>
      </c>
      <c r="O278" s="252">
        <f>Données!O278</f>
        <v>78267.199999999997</v>
      </c>
      <c r="P278" s="252">
        <f>Données!P278</f>
        <v>9886.51</v>
      </c>
      <c r="Q278" s="252">
        <f>Données!Q278</f>
        <v>0</v>
      </c>
      <c r="R278" s="252">
        <f>Données!R278</f>
        <v>-61.7</v>
      </c>
      <c r="S278" s="244"/>
      <c r="T278" s="236">
        <f t="shared" si="24"/>
        <v>670986.2822607588</v>
      </c>
      <c r="U278" s="253">
        <f t="shared" si="25"/>
        <v>78267.199999999997</v>
      </c>
      <c r="V278" s="253">
        <f t="shared" si="26"/>
        <v>9824.81</v>
      </c>
      <c r="W278" s="254">
        <f t="shared" si="27"/>
        <v>759078.29226075881</v>
      </c>
      <c r="X278" s="236">
        <f t="shared" si="28"/>
        <v>1661.0028277040674</v>
      </c>
      <c r="Y278" s="255">
        <f t="shared" si="29"/>
        <v>0.47967966944016954</v>
      </c>
    </row>
    <row r="279" spans="1:25" x14ac:dyDescent="0.25">
      <c r="A279" s="111">
        <f>Données!A279</f>
        <v>5903</v>
      </c>
      <c r="B279" s="119" t="str">
        <f>Données!B279</f>
        <v>Bioley-Magnoux</v>
      </c>
      <c r="C279" s="249">
        <f>Données!C279</f>
        <v>252</v>
      </c>
      <c r="D279" s="250">
        <f>Données!D279</f>
        <v>72</v>
      </c>
      <c r="E279" s="251">
        <f>Données!E279</f>
        <v>0.7</v>
      </c>
      <c r="F279" s="252">
        <f>Données!F279</f>
        <v>377068.39</v>
      </c>
      <c r="G279" s="252">
        <f>Données!G279</f>
        <v>48444.65</v>
      </c>
      <c r="H279" s="252">
        <f>Données!H279</f>
        <v>6881.5</v>
      </c>
      <c r="I279" s="252">
        <f>Données!I279</f>
        <v>904.5</v>
      </c>
      <c r="J279" s="252">
        <f>Données!J279</f>
        <v>0</v>
      </c>
      <c r="K279" s="252">
        <f>Données!K279</f>
        <v>0</v>
      </c>
      <c r="L279" s="252">
        <f>Données!L279</f>
        <v>-6675.8</v>
      </c>
      <c r="M279" s="252">
        <f>Données!M279</f>
        <v>0</v>
      </c>
      <c r="N279" s="252">
        <f>Données!N279</f>
        <v>724.87</v>
      </c>
      <c r="O279" s="252">
        <f>Données!O279</f>
        <v>30680.25</v>
      </c>
      <c r="P279" s="252">
        <f>Données!P279</f>
        <v>863.04</v>
      </c>
      <c r="Q279" s="252">
        <f>Données!Q279</f>
        <v>0</v>
      </c>
      <c r="R279" s="252">
        <f>Données!R279</f>
        <v>-124.7</v>
      </c>
      <c r="S279" s="244"/>
      <c r="T279" s="236">
        <f t="shared" si="24"/>
        <v>399532.94856291782</v>
      </c>
      <c r="U279" s="253">
        <f t="shared" si="25"/>
        <v>43828.928571428572</v>
      </c>
      <c r="V279" s="253">
        <f t="shared" si="26"/>
        <v>738.33999999999992</v>
      </c>
      <c r="W279" s="254">
        <f t="shared" si="27"/>
        <v>444100.21713434643</v>
      </c>
      <c r="X279" s="236">
        <f t="shared" si="28"/>
        <v>1762.3024489458192</v>
      </c>
      <c r="Y279" s="255">
        <f t="shared" si="29"/>
        <v>0.5089339055084029</v>
      </c>
    </row>
    <row r="280" spans="1:25" x14ac:dyDescent="0.25">
      <c r="A280" s="111">
        <f>Données!A280</f>
        <v>5904</v>
      </c>
      <c r="B280" s="119" t="str">
        <f>Données!B280</f>
        <v>Chamblon</v>
      </c>
      <c r="C280" s="249">
        <f>Données!C280</f>
        <v>558</v>
      </c>
      <c r="D280" s="250">
        <f>Données!D280</f>
        <v>66</v>
      </c>
      <c r="E280" s="251">
        <f>Données!E280</f>
        <v>1</v>
      </c>
      <c r="F280" s="252">
        <f>Données!F280</f>
        <v>1135814.6499999999</v>
      </c>
      <c r="G280" s="252">
        <f>Données!G280</f>
        <v>164007.89000000001</v>
      </c>
      <c r="H280" s="252">
        <f>Données!H280</f>
        <v>35352.65</v>
      </c>
      <c r="I280" s="252">
        <f>Données!I280</f>
        <v>1199.8</v>
      </c>
      <c r="J280" s="252">
        <f>Données!J280</f>
        <v>0</v>
      </c>
      <c r="K280" s="252">
        <f>Données!K280</f>
        <v>2850.25</v>
      </c>
      <c r="L280" s="252">
        <f>Données!L280</f>
        <v>-6137.55</v>
      </c>
      <c r="M280" s="252">
        <f>Données!M280</f>
        <v>0</v>
      </c>
      <c r="N280" s="252">
        <f>Données!N280</f>
        <v>3402.98</v>
      </c>
      <c r="O280" s="252">
        <f>Données!O280</f>
        <v>104498.9</v>
      </c>
      <c r="P280" s="252">
        <f>Données!P280</f>
        <v>15759.55</v>
      </c>
      <c r="Q280" s="252">
        <f>Données!Q280</f>
        <v>4018.2</v>
      </c>
      <c r="R280" s="252">
        <f>Données!R280</f>
        <v>-47.3</v>
      </c>
      <c r="S280" s="244"/>
      <c r="T280" s="236">
        <f t="shared" si="24"/>
        <v>1363092.4271216299</v>
      </c>
      <c r="U280" s="253">
        <f t="shared" si="25"/>
        <v>104498.9</v>
      </c>
      <c r="V280" s="253">
        <f t="shared" si="26"/>
        <v>19730.45</v>
      </c>
      <c r="W280" s="254">
        <f t="shared" si="27"/>
        <v>1487321.7771216298</v>
      </c>
      <c r="X280" s="236">
        <f t="shared" si="28"/>
        <v>2665.4512134796232</v>
      </c>
      <c r="Y280" s="255">
        <f t="shared" si="29"/>
        <v>0.76975351014790661</v>
      </c>
    </row>
    <row r="281" spans="1:25" x14ac:dyDescent="0.25">
      <c r="A281" s="111">
        <f>Données!A281</f>
        <v>5905</v>
      </c>
      <c r="B281" s="119" t="str">
        <f>Données!B281</f>
        <v>Champvent</v>
      </c>
      <c r="C281" s="249">
        <f>Données!C281</f>
        <v>692</v>
      </c>
      <c r="D281" s="250">
        <f>Données!D281</f>
        <v>70</v>
      </c>
      <c r="E281" s="251">
        <f>Données!E281</f>
        <v>1</v>
      </c>
      <c r="F281" s="252">
        <f>Données!F281</f>
        <v>965974.6</v>
      </c>
      <c r="G281" s="252">
        <f>Données!G281</f>
        <v>128529.18</v>
      </c>
      <c r="H281" s="252">
        <f>Données!H281</f>
        <v>-39563.35</v>
      </c>
      <c r="I281" s="252">
        <f>Données!I281</f>
        <v>5282.75</v>
      </c>
      <c r="J281" s="252">
        <f>Données!J281</f>
        <v>0</v>
      </c>
      <c r="K281" s="252">
        <f>Données!K281</f>
        <v>4903.3</v>
      </c>
      <c r="L281" s="252">
        <f>Données!L281</f>
        <v>-11447.15</v>
      </c>
      <c r="M281" s="252">
        <f>Données!M281</f>
        <v>0</v>
      </c>
      <c r="N281" s="252">
        <f>Données!N281</f>
        <v>-3191.48</v>
      </c>
      <c r="O281" s="252">
        <f>Données!O281</f>
        <v>119687</v>
      </c>
      <c r="P281" s="252">
        <f>Données!P281</f>
        <v>26546.07</v>
      </c>
      <c r="Q281" s="252">
        <f>Données!Q281</f>
        <v>3646.65</v>
      </c>
      <c r="R281" s="252">
        <f>Données!R281</f>
        <v>-47.8</v>
      </c>
      <c r="S281" s="244"/>
      <c r="T281" s="236">
        <f t="shared" si="24"/>
        <v>1010174.2710771537</v>
      </c>
      <c r="U281" s="253">
        <f t="shared" si="25"/>
        <v>119687</v>
      </c>
      <c r="V281" s="253">
        <f t="shared" si="26"/>
        <v>30144.920000000002</v>
      </c>
      <c r="W281" s="254">
        <f t="shared" si="27"/>
        <v>1160006.1910771537</v>
      </c>
      <c r="X281" s="236">
        <f t="shared" si="28"/>
        <v>1676.3095246779678</v>
      </c>
      <c r="Y281" s="255">
        <f t="shared" si="29"/>
        <v>0.48410007813677025</v>
      </c>
    </row>
    <row r="282" spans="1:25" x14ac:dyDescent="0.25">
      <c r="A282" s="111">
        <f>Données!A282</f>
        <v>5907</v>
      </c>
      <c r="B282" s="119" t="str">
        <f>Données!B282</f>
        <v>Chavannes-le-Chêne</v>
      </c>
      <c r="C282" s="249">
        <f>Données!C282</f>
        <v>329</v>
      </c>
      <c r="D282" s="250">
        <f>Données!D282</f>
        <v>75</v>
      </c>
      <c r="E282" s="251">
        <f>Données!E282</f>
        <v>1</v>
      </c>
      <c r="F282" s="252">
        <f>Données!F282</f>
        <v>502765.84</v>
      </c>
      <c r="G282" s="252">
        <f>Données!G282</f>
        <v>69806.789999999994</v>
      </c>
      <c r="H282" s="252">
        <f>Données!H282</f>
        <v>4405.1499999999996</v>
      </c>
      <c r="I282" s="252">
        <f>Données!I282</f>
        <v>785.55</v>
      </c>
      <c r="J282" s="252">
        <f>Données!J282</f>
        <v>0</v>
      </c>
      <c r="K282" s="252">
        <f>Données!K282</f>
        <v>-3030.86</v>
      </c>
      <c r="L282" s="252">
        <f>Données!L282</f>
        <v>-13723.26</v>
      </c>
      <c r="M282" s="252">
        <f>Données!M282</f>
        <v>0</v>
      </c>
      <c r="N282" s="252">
        <f>Données!N282</f>
        <v>483.25</v>
      </c>
      <c r="O282" s="252">
        <f>Données!O282</f>
        <v>55273.5</v>
      </c>
      <c r="P282" s="252">
        <f>Données!P282</f>
        <v>3395.43</v>
      </c>
      <c r="Q282" s="252">
        <f>Données!Q282</f>
        <v>1078.2</v>
      </c>
      <c r="R282" s="252">
        <f>Données!R282</f>
        <v>-110.65</v>
      </c>
      <c r="S282" s="244"/>
      <c r="T282" s="236">
        <f t="shared" si="24"/>
        <v>503948.28846689034</v>
      </c>
      <c r="U282" s="253">
        <f t="shared" si="25"/>
        <v>55273.5</v>
      </c>
      <c r="V282" s="253">
        <f t="shared" si="26"/>
        <v>4362.9800000000005</v>
      </c>
      <c r="W282" s="254">
        <f t="shared" si="27"/>
        <v>563584.76846689032</v>
      </c>
      <c r="X282" s="236">
        <f t="shared" si="28"/>
        <v>1713.0236123613688</v>
      </c>
      <c r="Y282" s="255">
        <f t="shared" si="29"/>
        <v>0.49470270996257759</v>
      </c>
    </row>
    <row r="283" spans="1:25" x14ac:dyDescent="0.25">
      <c r="A283" s="111">
        <f>Données!A283</f>
        <v>5908</v>
      </c>
      <c r="B283" s="119" t="str">
        <f>Données!B283</f>
        <v>Chêne-Pâquier</v>
      </c>
      <c r="C283" s="249">
        <f>Données!C283</f>
        <v>172</v>
      </c>
      <c r="D283" s="250">
        <f>Données!D283</f>
        <v>75</v>
      </c>
      <c r="E283" s="251">
        <f>Données!E283</f>
        <v>1</v>
      </c>
      <c r="F283" s="252">
        <f>Données!F283</f>
        <v>235480.58</v>
      </c>
      <c r="G283" s="252">
        <f>Données!G283</f>
        <v>53313.52</v>
      </c>
      <c r="H283" s="252">
        <f>Données!H283</f>
        <v>6780.3</v>
      </c>
      <c r="I283" s="252">
        <f>Données!I283</f>
        <v>820.3</v>
      </c>
      <c r="J283" s="252">
        <f>Données!J283</f>
        <v>0</v>
      </c>
      <c r="K283" s="252">
        <f>Données!K283</f>
        <v>0</v>
      </c>
      <c r="L283" s="252">
        <f>Données!L283</f>
        <v>-1075.45</v>
      </c>
      <c r="M283" s="252">
        <f>Données!M283</f>
        <v>0</v>
      </c>
      <c r="N283" s="252">
        <f>Données!N283</f>
        <v>707.61</v>
      </c>
      <c r="O283" s="252">
        <f>Données!O283</f>
        <v>29982.45</v>
      </c>
      <c r="P283" s="252">
        <f>Données!P283</f>
        <v>1260.0999999999999</v>
      </c>
      <c r="Q283" s="252">
        <f>Données!Q283</f>
        <v>92.95</v>
      </c>
      <c r="R283" s="252">
        <f>Données!R283</f>
        <v>-423.65</v>
      </c>
      <c r="S283" s="244"/>
      <c r="T283" s="236">
        <f t="shared" si="24"/>
        <v>265688.74929723493</v>
      </c>
      <c r="U283" s="253">
        <f t="shared" si="25"/>
        <v>29982.45</v>
      </c>
      <c r="V283" s="253">
        <f t="shared" si="26"/>
        <v>929.4</v>
      </c>
      <c r="W283" s="254">
        <f t="shared" si="27"/>
        <v>296600.59929723496</v>
      </c>
      <c r="X283" s="236">
        <f t="shared" si="28"/>
        <v>1724.4220889374126</v>
      </c>
      <c r="Y283" s="255">
        <f t="shared" si="29"/>
        <v>0.49799446683675214</v>
      </c>
    </row>
    <row r="284" spans="1:25" x14ac:dyDescent="0.25">
      <c r="A284" s="111">
        <f>Données!A284</f>
        <v>5909</v>
      </c>
      <c r="B284" s="119" t="str">
        <f>Données!B284</f>
        <v>Cheseaux-Noréaz</v>
      </c>
      <c r="C284" s="249">
        <f>Données!C284</f>
        <v>745</v>
      </c>
      <c r="D284" s="250">
        <f>Données!D284</f>
        <v>67</v>
      </c>
      <c r="E284" s="251">
        <f>Données!E284</f>
        <v>1</v>
      </c>
      <c r="F284" s="252">
        <f>Données!F284</f>
        <v>1807809.85</v>
      </c>
      <c r="G284" s="252">
        <f>Données!G284</f>
        <v>336536.57</v>
      </c>
      <c r="H284" s="252">
        <f>Données!H284</f>
        <v>-8157.3</v>
      </c>
      <c r="I284" s="252">
        <f>Données!I284</f>
        <v>1615.3</v>
      </c>
      <c r="J284" s="252">
        <f>Données!J284</f>
        <v>0</v>
      </c>
      <c r="K284" s="252">
        <f>Données!K284</f>
        <v>0</v>
      </c>
      <c r="L284" s="252">
        <f>Données!L284</f>
        <v>-1367.38</v>
      </c>
      <c r="M284" s="252">
        <f>Données!M284</f>
        <v>0</v>
      </c>
      <c r="N284" s="252">
        <f>Données!N284</f>
        <v>-609.04999999999995</v>
      </c>
      <c r="O284" s="252">
        <f>Données!O284</f>
        <v>181615.6</v>
      </c>
      <c r="P284" s="252">
        <f>Données!P284</f>
        <v>19852.28</v>
      </c>
      <c r="Q284" s="252">
        <f>Données!Q284</f>
        <v>-1414</v>
      </c>
      <c r="R284" s="252">
        <f>Données!R284</f>
        <v>-1706.1</v>
      </c>
      <c r="S284" s="244"/>
      <c r="T284" s="236">
        <f t="shared" si="24"/>
        <v>2145827.3688702593</v>
      </c>
      <c r="U284" s="253">
        <f t="shared" si="25"/>
        <v>181615.6</v>
      </c>
      <c r="V284" s="253">
        <f t="shared" si="26"/>
        <v>16732.18</v>
      </c>
      <c r="W284" s="254">
        <f t="shared" si="27"/>
        <v>2344175.1488702595</v>
      </c>
      <c r="X284" s="236">
        <f t="shared" si="28"/>
        <v>3146.5438239869254</v>
      </c>
      <c r="Y284" s="255">
        <f t="shared" si="29"/>
        <v>0.90868785783787098</v>
      </c>
    </row>
    <row r="285" spans="1:25" x14ac:dyDescent="0.25">
      <c r="A285" s="111">
        <f>Données!A285</f>
        <v>5910</v>
      </c>
      <c r="B285" s="119" t="str">
        <f>Données!B285</f>
        <v>Cronay</v>
      </c>
      <c r="C285" s="249">
        <f>Données!C285</f>
        <v>432</v>
      </c>
      <c r="D285" s="250">
        <f>Données!D285</f>
        <v>75</v>
      </c>
      <c r="E285" s="251">
        <f>Données!E285</f>
        <v>1</v>
      </c>
      <c r="F285" s="252">
        <f>Données!F285</f>
        <v>579557.22</v>
      </c>
      <c r="G285" s="252">
        <f>Données!G285</f>
        <v>94338.64</v>
      </c>
      <c r="H285" s="252">
        <f>Données!H285</f>
        <v>-917.5</v>
      </c>
      <c r="I285" s="252">
        <f>Données!I285</f>
        <v>1754.65</v>
      </c>
      <c r="J285" s="252">
        <f>Données!J285</f>
        <v>0</v>
      </c>
      <c r="K285" s="252">
        <f>Données!K285</f>
        <v>2633.79</v>
      </c>
      <c r="L285" s="252">
        <f>Données!L285</f>
        <v>526.96</v>
      </c>
      <c r="M285" s="252">
        <f>Données!M285</f>
        <v>0</v>
      </c>
      <c r="N285" s="252">
        <f>Données!N285</f>
        <v>77.94</v>
      </c>
      <c r="O285" s="252">
        <f>Données!O285</f>
        <v>70950.350000000006</v>
      </c>
      <c r="P285" s="252">
        <f>Données!P285</f>
        <v>5948.94</v>
      </c>
      <c r="Q285" s="252">
        <f>Données!Q285</f>
        <v>0</v>
      </c>
      <c r="R285" s="252">
        <f>Données!R285</f>
        <v>0</v>
      </c>
      <c r="S285" s="244"/>
      <c r="T285" s="236">
        <f t="shared" si="24"/>
        <v>608490.23305493349</v>
      </c>
      <c r="U285" s="253">
        <f t="shared" si="25"/>
        <v>70950.350000000006</v>
      </c>
      <c r="V285" s="253">
        <f t="shared" si="26"/>
        <v>5948.94</v>
      </c>
      <c r="W285" s="254">
        <f t="shared" si="27"/>
        <v>685389.52305493341</v>
      </c>
      <c r="X285" s="236">
        <f t="shared" si="28"/>
        <v>1586.54982188642</v>
      </c>
      <c r="Y285" s="255">
        <f t="shared" si="29"/>
        <v>0.45817844582768391</v>
      </c>
    </row>
    <row r="286" spans="1:25" x14ac:dyDescent="0.25">
      <c r="A286" s="111">
        <f>Données!A286</f>
        <v>5911</v>
      </c>
      <c r="B286" s="119" t="str">
        <f>Données!B286</f>
        <v>Cuarny</v>
      </c>
      <c r="C286" s="249">
        <f>Données!C286</f>
        <v>244</v>
      </c>
      <c r="D286" s="250">
        <f>Données!D286</f>
        <v>77</v>
      </c>
      <c r="E286" s="251">
        <f>Données!E286</f>
        <v>1</v>
      </c>
      <c r="F286" s="252">
        <f>Données!F286</f>
        <v>434176.41</v>
      </c>
      <c r="G286" s="252">
        <f>Données!G286</f>
        <v>55427.65</v>
      </c>
      <c r="H286" s="252">
        <f>Données!H286</f>
        <v>8368.85</v>
      </c>
      <c r="I286" s="252">
        <f>Données!I286</f>
        <v>1403.9</v>
      </c>
      <c r="J286" s="252">
        <f>Données!J286</f>
        <v>0</v>
      </c>
      <c r="K286" s="252">
        <f>Données!K286</f>
        <v>0</v>
      </c>
      <c r="L286" s="252">
        <f>Données!L286</f>
        <v>-290.79000000000002</v>
      </c>
      <c r="M286" s="252">
        <f>Données!M286</f>
        <v>0</v>
      </c>
      <c r="N286" s="252">
        <f>Données!N286</f>
        <v>909.83</v>
      </c>
      <c r="O286" s="252">
        <f>Données!O286</f>
        <v>38600.800000000003</v>
      </c>
      <c r="P286" s="252">
        <f>Données!P286</f>
        <v>3668.12</v>
      </c>
      <c r="Q286" s="252">
        <f>Données!Q286</f>
        <v>2440.0500000000002</v>
      </c>
      <c r="R286" s="252">
        <f>Données!R286</f>
        <v>0</v>
      </c>
      <c r="S286" s="244"/>
      <c r="T286" s="236">
        <f t="shared" si="24"/>
        <v>437098.16549031518</v>
      </c>
      <c r="U286" s="253">
        <f t="shared" si="25"/>
        <v>38600.800000000003</v>
      </c>
      <c r="V286" s="253">
        <f t="shared" si="26"/>
        <v>6108.17</v>
      </c>
      <c r="W286" s="254">
        <f t="shared" si="27"/>
        <v>481807.13549031515</v>
      </c>
      <c r="X286" s="236">
        <f t="shared" si="28"/>
        <v>1974.6194077471932</v>
      </c>
      <c r="Y286" s="255">
        <f t="shared" si="29"/>
        <v>0.57024874911716417</v>
      </c>
    </row>
    <row r="287" spans="1:25" x14ac:dyDescent="0.25">
      <c r="A287" s="111">
        <f>Données!A287</f>
        <v>5912</v>
      </c>
      <c r="B287" s="119" t="str">
        <f>Données!B287</f>
        <v>Démoret</v>
      </c>
      <c r="C287" s="249">
        <f>Données!C287</f>
        <v>181</v>
      </c>
      <c r="D287" s="250">
        <f>Données!D287</f>
        <v>78</v>
      </c>
      <c r="E287" s="251">
        <f>Données!E287</f>
        <v>1</v>
      </c>
      <c r="F287" s="252">
        <f>Données!F287</f>
        <v>266621.07</v>
      </c>
      <c r="G287" s="252">
        <f>Données!G287</f>
        <v>35149.35</v>
      </c>
      <c r="H287" s="252">
        <f>Données!H287</f>
        <v>11965.7</v>
      </c>
      <c r="I287" s="252">
        <f>Données!I287</f>
        <v>1130.95</v>
      </c>
      <c r="J287" s="252">
        <f>Données!J287</f>
        <v>0</v>
      </c>
      <c r="K287" s="252">
        <f>Données!K287</f>
        <v>0</v>
      </c>
      <c r="L287" s="252">
        <f>Données!L287</f>
        <v>-1134.67</v>
      </c>
      <c r="M287" s="252">
        <f>Données!M287</f>
        <v>0</v>
      </c>
      <c r="N287" s="252">
        <f>Données!N287</f>
        <v>1219.28</v>
      </c>
      <c r="O287" s="252">
        <f>Données!O287</f>
        <v>25948.400000000001</v>
      </c>
      <c r="P287" s="252">
        <f>Données!P287</f>
        <v>10533.47</v>
      </c>
      <c r="Q287" s="252">
        <f>Données!Q287</f>
        <v>0</v>
      </c>
      <c r="R287" s="252">
        <f>Données!R287</f>
        <v>0</v>
      </c>
      <c r="S287" s="244"/>
      <c r="T287" s="236">
        <f t="shared" si="24"/>
        <v>271801.99234241195</v>
      </c>
      <c r="U287" s="253">
        <f t="shared" si="25"/>
        <v>25948.400000000001</v>
      </c>
      <c r="V287" s="253">
        <f t="shared" si="26"/>
        <v>10533.47</v>
      </c>
      <c r="W287" s="254">
        <f t="shared" si="27"/>
        <v>308283.86234241194</v>
      </c>
      <c r="X287" s="236">
        <f t="shared" si="28"/>
        <v>1703.2257587978561</v>
      </c>
      <c r="Y287" s="255">
        <f t="shared" si="29"/>
        <v>0.49187319571962757</v>
      </c>
    </row>
    <row r="288" spans="1:25" x14ac:dyDescent="0.25">
      <c r="A288" s="111">
        <f>Données!A288</f>
        <v>5913</v>
      </c>
      <c r="B288" s="119" t="str">
        <f>Données!B288</f>
        <v>Donneloye</v>
      </c>
      <c r="C288" s="249">
        <f>Données!C288</f>
        <v>905</v>
      </c>
      <c r="D288" s="250">
        <f>Données!D288</f>
        <v>73</v>
      </c>
      <c r="E288" s="251">
        <f>Données!E288</f>
        <v>1</v>
      </c>
      <c r="F288" s="252">
        <f>Données!F288</f>
        <v>1318472.8999999999</v>
      </c>
      <c r="G288" s="252">
        <f>Données!G288</f>
        <v>173821.37</v>
      </c>
      <c r="H288" s="252">
        <f>Données!H288</f>
        <v>9377.7999999999993</v>
      </c>
      <c r="I288" s="252">
        <f>Données!I288</f>
        <v>674.4</v>
      </c>
      <c r="J288" s="252">
        <f>Données!J288</f>
        <v>0</v>
      </c>
      <c r="K288" s="252">
        <f>Données!K288</f>
        <v>0</v>
      </c>
      <c r="L288" s="252">
        <f>Données!L288</f>
        <v>-16115.07</v>
      </c>
      <c r="M288" s="252">
        <f>Données!M288</f>
        <v>0</v>
      </c>
      <c r="N288" s="252">
        <f>Données!N288</f>
        <v>935.85</v>
      </c>
      <c r="O288" s="252">
        <f>Données!O288</f>
        <v>138992.24</v>
      </c>
      <c r="P288" s="252">
        <f>Données!P288</f>
        <v>31621.599999999999</v>
      </c>
      <c r="Q288" s="252">
        <f>Données!Q288</f>
        <v>1422.7</v>
      </c>
      <c r="R288" s="252">
        <f>Données!R288</f>
        <v>-556.85</v>
      </c>
      <c r="S288" s="244"/>
      <c r="T288" s="236">
        <f t="shared" si="24"/>
        <v>1371324.585005708</v>
      </c>
      <c r="U288" s="253">
        <f t="shared" si="25"/>
        <v>138992.24</v>
      </c>
      <c r="V288" s="253">
        <f t="shared" si="26"/>
        <v>32487.449999999997</v>
      </c>
      <c r="W288" s="254">
        <f t="shared" si="27"/>
        <v>1542804.275005708</v>
      </c>
      <c r="X288" s="236">
        <f t="shared" si="28"/>
        <v>1704.7561049786827</v>
      </c>
      <c r="Y288" s="255">
        <f t="shared" si="29"/>
        <v>0.49231514316119973</v>
      </c>
    </row>
    <row r="289" spans="1:25" x14ac:dyDescent="0.25">
      <c r="A289" s="111">
        <f>Données!A289</f>
        <v>5914</v>
      </c>
      <c r="B289" s="119" t="str">
        <f>Données!B289</f>
        <v>Ependes</v>
      </c>
      <c r="C289" s="249">
        <f>Données!C289</f>
        <v>376</v>
      </c>
      <c r="D289" s="250">
        <f>Données!D289</f>
        <v>73.5</v>
      </c>
      <c r="E289" s="251">
        <f>Données!E289</f>
        <v>1</v>
      </c>
      <c r="F289" s="252">
        <f>Données!F289</f>
        <v>578094.31999999995</v>
      </c>
      <c r="G289" s="252">
        <f>Données!G289</f>
        <v>47234.33</v>
      </c>
      <c r="H289" s="252">
        <f>Données!H289</f>
        <v>7332.55</v>
      </c>
      <c r="I289" s="252">
        <f>Données!I289</f>
        <v>3047.5</v>
      </c>
      <c r="J289" s="252">
        <f>Données!J289</f>
        <v>0</v>
      </c>
      <c r="K289" s="252">
        <f>Données!K289</f>
        <v>0</v>
      </c>
      <c r="L289" s="252">
        <f>Données!L289</f>
        <v>-15227.66</v>
      </c>
      <c r="M289" s="252">
        <f>Données!M289</f>
        <v>0</v>
      </c>
      <c r="N289" s="252">
        <f>Données!N289</f>
        <v>966.37</v>
      </c>
      <c r="O289" s="252">
        <f>Données!O289</f>
        <v>70081.350000000006</v>
      </c>
      <c r="P289" s="252">
        <f>Données!P289</f>
        <v>14920.17</v>
      </c>
      <c r="Q289" s="252">
        <f>Données!Q289</f>
        <v>8054.15</v>
      </c>
      <c r="R289" s="252">
        <f>Données!R289</f>
        <v>0</v>
      </c>
      <c r="S289" s="244"/>
      <c r="T289" s="236">
        <f t="shared" si="24"/>
        <v>569141.62891490746</v>
      </c>
      <c r="U289" s="253">
        <f t="shared" si="25"/>
        <v>70081.350000000006</v>
      </c>
      <c r="V289" s="253">
        <f t="shared" si="26"/>
        <v>22974.32</v>
      </c>
      <c r="W289" s="254">
        <f t="shared" si="27"/>
        <v>662197.29891490738</v>
      </c>
      <c r="X289" s="236">
        <f t="shared" si="28"/>
        <v>1761.1630290290091</v>
      </c>
      <c r="Y289" s="255">
        <f t="shared" si="29"/>
        <v>0.50860485334790506</v>
      </c>
    </row>
    <row r="290" spans="1:25" x14ac:dyDescent="0.25">
      <c r="A290" s="111">
        <f>Données!A290</f>
        <v>5919</v>
      </c>
      <c r="B290" s="119" t="str">
        <f>Données!B290</f>
        <v>Mathod</v>
      </c>
      <c r="C290" s="249">
        <f>Données!C290</f>
        <v>740</v>
      </c>
      <c r="D290" s="250">
        <f>Données!D290</f>
        <v>72</v>
      </c>
      <c r="E290" s="251">
        <f>Données!E290</f>
        <v>1.2</v>
      </c>
      <c r="F290" s="252">
        <f>Données!F290</f>
        <v>1243893.78</v>
      </c>
      <c r="G290" s="252">
        <f>Données!G290</f>
        <v>174832.94</v>
      </c>
      <c r="H290" s="252">
        <f>Données!H290</f>
        <v>42808.7</v>
      </c>
      <c r="I290" s="252">
        <f>Données!I290</f>
        <v>14400.65</v>
      </c>
      <c r="J290" s="252">
        <f>Données!J290</f>
        <v>0</v>
      </c>
      <c r="K290" s="252">
        <f>Données!K290</f>
        <v>6776.43</v>
      </c>
      <c r="L290" s="252">
        <f>Données!L290</f>
        <v>-27875.06</v>
      </c>
      <c r="M290" s="252">
        <f>Données!M290</f>
        <v>0</v>
      </c>
      <c r="N290" s="252">
        <f>Données!N290</f>
        <v>5326.11</v>
      </c>
      <c r="O290" s="252">
        <f>Données!O290</f>
        <v>174638.3</v>
      </c>
      <c r="P290" s="252">
        <f>Données!P290</f>
        <v>52635.56</v>
      </c>
      <c r="Q290" s="252">
        <f>Données!Q290</f>
        <v>14514.95</v>
      </c>
      <c r="R290" s="252">
        <f>Données!R290</f>
        <v>-523.45000000000005</v>
      </c>
      <c r="S290" s="244"/>
      <c r="T290" s="236">
        <f t="shared" si="24"/>
        <v>1365124.6720515445</v>
      </c>
      <c r="U290" s="253">
        <f t="shared" si="25"/>
        <v>145531.91666666666</v>
      </c>
      <c r="V290" s="253">
        <f t="shared" si="26"/>
        <v>66627.06</v>
      </c>
      <c r="W290" s="254">
        <f t="shared" si="27"/>
        <v>1577283.6487182113</v>
      </c>
      <c r="X290" s="236">
        <f t="shared" si="28"/>
        <v>2131.4643901597451</v>
      </c>
      <c r="Y290" s="255">
        <f t="shared" si="29"/>
        <v>0.61554388532171633</v>
      </c>
    </row>
    <row r="291" spans="1:25" x14ac:dyDescent="0.25">
      <c r="A291" s="111">
        <f>Données!A291</f>
        <v>5921</v>
      </c>
      <c r="B291" s="119" t="str">
        <f>Données!B291</f>
        <v>Molondin</v>
      </c>
      <c r="C291" s="249">
        <f>Données!C291</f>
        <v>260</v>
      </c>
      <c r="D291" s="250">
        <f>Données!D291</f>
        <v>81</v>
      </c>
      <c r="E291" s="251">
        <f>Données!E291</f>
        <v>1</v>
      </c>
      <c r="F291" s="252">
        <f>Données!F291</f>
        <v>386243.22</v>
      </c>
      <c r="G291" s="252">
        <f>Données!G291</f>
        <v>82206.05</v>
      </c>
      <c r="H291" s="252">
        <f>Données!H291</f>
        <v>4920.1499999999996</v>
      </c>
      <c r="I291" s="252">
        <f>Données!I291</f>
        <v>2241.5500000000002</v>
      </c>
      <c r="J291" s="252">
        <f>Données!J291</f>
        <v>0</v>
      </c>
      <c r="K291" s="252">
        <f>Données!K291</f>
        <v>1882.24</v>
      </c>
      <c r="L291" s="252">
        <f>Données!L291</f>
        <v>-9883.23</v>
      </c>
      <c r="M291" s="252">
        <f>Données!M291</f>
        <v>0</v>
      </c>
      <c r="N291" s="252">
        <f>Données!N291</f>
        <v>666.74</v>
      </c>
      <c r="O291" s="252">
        <f>Données!O291</f>
        <v>42713.3</v>
      </c>
      <c r="P291" s="252">
        <f>Données!P291</f>
        <v>25244.76</v>
      </c>
      <c r="Q291" s="252">
        <f>Données!Q291</f>
        <v>0</v>
      </c>
      <c r="R291" s="252">
        <f>Données!R291</f>
        <v>0</v>
      </c>
      <c r="S291" s="244"/>
      <c r="T291" s="236">
        <f t="shared" si="24"/>
        <v>389153.42588810867</v>
      </c>
      <c r="U291" s="253">
        <f t="shared" si="25"/>
        <v>42713.3</v>
      </c>
      <c r="V291" s="253">
        <f t="shared" si="26"/>
        <v>25244.76</v>
      </c>
      <c r="W291" s="254">
        <f t="shared" si="27"/>
        <v>457111.48588810867</v>
      </c>
      <c r="X291" s="236">
        <f t="shared" si="28"/>
        <v>1758.1210995696488</v>
      </c>
      <c r="Y291" s="255">
        <f t="shared" si="29"/>
        <v>0.50772637698820899</v>
      </c>
    </row>
    <row r="292" spans="1:25" x14ac:dyDescent="0.25">
      <c r="A292" s="111">
        <f>Données!A292</f>
        <v>5922</v>
      </c>
      <c r="B292" s="119" t="str">
        <f>Données!B292</f>
        <v>Montagny-près-Yverdon</v>
      </c>
      <c r="C292" s="249">
        <f>Données!C292</f>
        <v>768</v>
      </c>
      <c r="D292" s="250">
        <f>Données!D292</f>
        <v>64.5</v>
      </c>
      <c r="E292" s="251">
        <f>Données!E292</f>
        <v>0.8</v>
      </c>
      <c r="F292" s="252">
        <f>Données!F292</f>
        <v>1274969.68</v>
      </c>
      <c r="G292" s="252">
        <f>Données!G292</f>
        <v>197893.18</v>
      </c>
      <c r="H292" s="252">
        <f>Données!H292</f>
        <v>493849.45</v>
      </c>
      <c r="I292" s="252">
        <f>Données!I292</f>
        <v>40216.35</v>
      </c>
      <c r="J292" s="252">
        <f>Données!J292</f>
        <v>0</v>
      </c>
      <c r="K292" s="252">
        <f>Données!K292</f>
        <v>17815.169999999998</v>
      </c>
      <c r="L292" s="252">
        <f>Données!L292</f>
        <v>-29517.45</v>
      </c>
      <c r="M292" s="252">
        <f>Données!M292</f>
        <v>0</v>
      </c>
      <c r="N292" s="252">
        <f>Données!N292</f>
        <v>49720.78</v>
      </c>
      <c r="O292" s="252">
        <f>Données!O292</f>
        <v>298545.05</v>
      </c>
      <c r="P292" s="252">
        <f>Données!P292</f>
        <v>147874.54999999999</v>
      </c>
      <c r="Q292" s="252">
        <f>Données!Q292</f>
        <v>39244</v>
      </c>
      <c r="R292" s="252">
        <f>Données!R292</f>
        <v>-1256.5999999999999</v>
      </c>
      <c r="S292" s="244"/>
      <c r="T292" s="236">
        <f t="shared" si="24"/>
        <v>2134153.6581689599</v>
      </c>
      <c r="U292" s="253">
        <f t="shared" si="25"/>
        <v>373181.31249999994</v>
      </c>
      <c r="V292" s="253">
        <f t="shared" si="26"/>
        <v>185861.94999999998</v>
      </c>
      <c r="W292" s="254">
        <f t="shared" si="27"/>
        <v>2693196.9206689601</v>
      </c>
      <c r="X292" s="236">
        <f t="shared" si="28"/>
        <v>3506.7668237877083</v>
      </c>
      <c r="Y292" s="255">
        <f t="shared" si="29"/>
        <v>1.0127163679566817</v>
      </c>
    </row>
    <row r="293" spans="1:25" x14ac:dyDescent="0.25">
      <c r="A293" s="111">
        <f>Données!A293</f>
        <v>5923</v>
      </c>
      <c r="B293" s="119" t="str">
        <f>Données!B293</f>
        <v>Oppens</v>
      </c>
      <c r="C293" s="249">
        <f>Données!C293</f>
        <v>201</v>
      </c>
      <c r="D293" s="250">
        <f>Données!D293</f>
        <v>79</v>
      </c>
      <c r="E293" s="251">
        <f>Données!E293</f>
        <v>1</v>
      </c>
      <c r="F293" s="252">
        <f>Données!F293</f>
        <v>345598.48</v>
      </c>
      <c r="G293" s="252">
        <f>Données!G293</f>
        <v>37721.17</v>
      </c>
      <c r="H293" s="252">
        <f>Données!H293</f>
        <v>2776.25</v>
      </c>
      <c r="I293" s="252">
        <f>Données!I293</f>
        <v>1861</v>
      </c>
      <c r="J293" s="252">
        <f>Données!J293</f>
        <v>0</v>
      </c>
      <c r="K293" s="252">
        <f>Données!K293</f>
        <v>0</v>
      </c>
      <c r="L293" s="252">
        <f>Données!L293</f>
        <v>-934.64</v>
      </c>
      <c r="M293" s="252">
        <f>Données!M293</f>
        <v>0</v>
      </c>
      <c r="N293" s="252">
        <f>Données!N293</f>
        <v>431.72</v>
      </c>
      <c r="O293" s="252">
        <f>Données!O293</f>
        <v>27547.7</v>
      </c>
      <c r="P293" s="252">
        <f>Données!P293</f>
        <v>16118.91</v>
      </c>
      <c r="Q293" s="252">
        <f>Données!Q293</f>
        <v>0</v>
      </c>
      <c r="R293" s="252">
        <f>Données!R293</f>
        <v>0</v>
      </c>
      <c r="S293" s="244"/>
      <c r="T293" s="236">
        <f t="shared" si="24"/>
        <v>330138.62971984019</v>
      </c>
      <c r="U293" s="253">
        <f t="shared" si="25"/>
        <v>27547.7</v>
      </c>
      <c r="V293" s="253">
        <f t="shared" si="26"/>
        <v>16118.91</v>
      </c>
      <c r="W293" s="254">
        <f t="shared" si="27"/>
        <v>373805.23971984017</v>
      </c>
      <c r="X293" s="236">
        <f t="shared" si="28"/>
        <v>1859.7275607952247</v>
      </c>
      <c r="Y293" s="255">
        <f t="shared" si="29"/>
        <v>0.53706922512835265</v>
      </c>
    </row>
    <row r="294" spans="1:25" x14ac:dyDescent="0.25">
      <c r="A294" s="111">
        <f>Données!A294</f>
        <v>5924</v>
      </c>
      <c r="B294" s="119" t="str">
        <f>Données!B294</f>
        <v>Orges</v>
      </c>
      <c r="C294" s="249">
        <f>Données!C294</f>
        <v>416</v>
      </c>
      <c r="D294" s="250">
        <f>Données!D294</f>
        <v>74</v>
      </c>
      <c r="E294" s="251">
        <f>Données!E294</f>
        <v>1</v>
      </c>
      <c r="F294" s="252">
        <f>Données!F294</f>
        <v>984176.46</v>
      </c>
      <c r="G294" s="252">
        <f>Données!G294</f>
        <v>104785.15</v>
      </c>
      <c r="H294" s="252">
        <f>Données!H294</f>
        <v>24092.400000000001</v>
      </c>
      <c r="I294" s="252">
        <f>Données!I294</f>
        <v>3532.5</v>
      </c>
      <c r="J294" s="252">
        <f>Données!J294</f>
        <v>0</v>
      </c>
      <c r="K294" s="252">
        <f>Données!K294</f>
        <v>0</v>
      </c>
      <c r="L294" s="252">
        <f>Données!L294</f>
        <v>-1450.18</v>
      </c>
      <c r="M294" s="252">
        <f>Données!M294</f>
        <v>0</v>
      </c>
      <c r="N294" s="252">
        <f>Données!N294</f>
        <v>2571.84</v>
      </c>
      <c r="O294" s="252">
        <f>Données!O294</f>
        <v>82547.100000000006</v>
      </c>
      <c r="P294" s="252">
        <f>Données!P294</f>
        <v>11877.28</v>
      </c>
      <c r="Q294" s="252">
        <f>Données!Q294</f>
        <v>0</v>
      </c>
      <c r="R294" s="252">
        <f>Données!R294</f>
        <v>0</v>
      </c>
      <c r="S294" s="244"/>
      <c r="T294" s="236">
        <f t="shared" si="24"/>
        <v>1016716.8355297717</v>
      </c>
      <c r="U294" s="253">
        <f t="shared" si="25"/>
        <v>82547.100000000006</v>
      </c>
      <c r="V294" s="253">
        <f t="shared" si="26"/>
        <v>11877.28</v>
      </c>
      <c r="W294" s="254">
        <f t="shared" si="27"/>
        <v>1111141.2155297718</v>
      </c>
      <c r="X294" s="236">
        <f t="shared" si="28"/>
        <v>2671.0125373311821</v>
      </c>
      <c r="Y294" s="255">
        <f t="shared" si="29"/>
        <v>0.77135956038591424</v>
      </c>
    </row>
    <row r="295" spans="1:25" x14ac:dyDescent="0.25">
      <c r="A295" s="111">
        <f>Données!A295</f>
        <v>5925</v>
      </c>
      <c r="B295" s="119" t="str">
        <f>Données!B295</f>
        <v>Orzens</v>
      </c>
      <c r="C295" s="249">
        <f>Données!C295</f>
        <v>216</v>
      </c>
      <c r="D295" s="250">
        <f>Données!D295</f>
        <v>79</v>
      </c>
      <c r="E295" s="251">
        <f>Données!E295</f>
        <v>1</v>
      </c>
      <c r="F295" s="252">
        <f>Données!F295</f>
        <v>367080.12</v>
      </c>
      <c r="G295" s="252">
        <f>Données!G295</f>
        <v>66601.97</v>
      </c>
      <c r="H295" s="252">
        <f>Données!H295</f>
        <v>588.20000000000005</v>
      </c>
      <c r="I295" s="252">
        <f>Données!I295</f>
        <v>1811.35</v>
      </c>
      <c r="J295" s="252">
        <f>Données!J295</f>
        <v>0</v>
      </c>
      <c r="K295" s="252">
        <f>Données!K295</f>
        <v>2177.34</v>
      </c>
      <c r="L295" s="252">
        <f>Données!L295</f>
        <v>-419.5</v>
      </c>
      <c r="M295" s="252">
        <f>Données!M295</f>
        <v>0</v>
      </c>
      <c r="N295" s="252">
        <f>Données!N295</f>
        <v>223.39</v>
      </c>
      <c r="O295" s="252">
        <f>Données!O295</f>
        <v>36444.65</v>
      </c>
      <c r="P295" s="252">
        <f>Données!P295</f>
        <v>3697.02</v>
      </c>
      <c r="Q295" s="252">
        <f>Données!Q295</f>
        <v>0</v>
      </c>
      <c r="R295" s="252">
        <f>Données!R295</f>
        <v>0</v>
      </c>
      <c r="S295" s="244"/>
      <c r="T295" s="236">
        <f t="shared" si="24"/>
        <v>373261.04027358425</v>
      </c>
      <c r="U295" s="253">
        <f t="shared" si="25"/>
        <v>36444.65</v>
      </c>
      <c r="V295" s="253">
        <f t="shared" si="26"/>
        <v>3697.02</v>
      </c>
      <c r="W295" s="254">
        <f t="shared" si="27"/>
        <v>413402.71027358429</v>
      </c>
      <c r="X295" s="236">
        <f t="shared" si="28"/>
        <v>1913.9014364517791</v>
      </c>
      <c r="Y295" s="255">
        <f t="shared" si="29"/>
        <v>0.55271405506711224</v>
      </c>
    </row>
    <row r="296" spans="1:25" x14ac:dyDescent="0.25">
      <c r="A296" s="111">
        <f>Données!A296</f>
        <v>5926</v>
      </c>
      <c r="B296" s="119" t="str">
        <f>Données!B296</f>
        <v>Pomy</v>
      </c>
      <c r="C296" s="249">
        <f>Données!C296</f>
        <v>904</v>
      </c>
      <c r="D296" s="250">
        <f>Données!D296</f>
        <v>71</v>
      </c>
      <c r="E296" s="251">
        <f>Données!E296</f>
        <v>1</v>
      </c>
      <c r="F296" s="252">
        <f>Données!F296</f>
        <v>1635533.63</v>
      </c>
      <c r="G296" s="252">
        <f>Données!G296</f>
        <v>233875.03</v>
      </c>
      <c r="H296" s="252">
        <f>Données!H296</f>
        <v>63461.599999999999</v>
      </c>
      <c r="I296" s="252">
        <f>Données!I296</f>
        <v>3411.25</v>
      </c>
      <c r="J296" s="252">
        <f>Données!J296</f>
        <v>0</v>
      </c>
      <c r="K296" s="252">
        <f>Données!K296</f>
        <v>0</v>
      </c>
      <c r="L296" s="252">
        <f>Données!L296</f>
        <v>-40186.879999999997</v>
      </c>
      <c r="M296" s="252">
        <f>Données!M296</f>
        <v>0</v>
      </c>
      <c r="N296" s="252">
        <f>Données!N296</f>
        <v>6225.77</v>
      </c>
      <c r="O296" s="252">
        <f>Données!O296</f>
        <v>155409.15</v>
      </c>
      <c r="P296" s="252">
        <f>Données!P296</f>
        <v>31796.81</v>
      </c>
      <c r="Q296" s="252">
        <f>Données!Q296</f>
        <v>0</v>
      </c>
      <c r="R296" s="252">
        <f>Données!R296</f>
        <v>-940.1</v>
      </c>
      <c r="S296" s="244"/>
      <c r="T296" s="236">
        <f t="shared" si="24"/>
        <v>1803551.822723503</v>
      </c>
      <c r="U296" s="253">
        <f t="shared" si="25"/>
        <v>155409.15</v>
      </c>
      <c r="V296" s="253">
        <f t="shared" si="26"/>
        <v>30856.710000000003</v>
      </c>
      <c r="W296" s="254">
        <f t="shared" si="27"/>
        <v>1989817.6827235029</v>
      </c>
      <c r="X296" s="236">
        <f t="shared" si="28"/>
        <v>2201.1257552251136</v>
      </c>
      <c r="Y296" s="255">
        <f t="shared" si="29"/>
        <v>0.63566133485881038</v>
      </c>
    </row>
    <row r="297" spans="1:25" x14ac:dyDescent="0.25">
      <c r="A297" s="111">
        <f>Données!A297</f>
        <v>5928</v>
      </c>
      <c r="B297" s="119" t="str">
        <f>Données!B297</f>
        <v>Rovray</v>
      </c>
      <c r="C297" s="249">
        <f>Données!C297</f>
        <v>198</v>
      </c>
      <c r="D297" s="250">
        <f>Données!D297</f>
        <v>73</v>
      </c>
      <c r="E297" s="251">
        <f>Données!E297</f>
        <v>1</v>
      </c>
      <c r="F297" s="252">
        <f>Données!F297</f>
        <v>278876.7</v>
      </c>
      <c r="G297" s="252">
        <f>Données!G297</f>
        <v>34846.129999999997</v>
      </c>
      <c r="H297" s="252">
        <f>Données!H297</f>
        <v>26826.5</v>
      </c>
      <c r="I297" s="252">
        <f>Données!I297</f>
        <v>934.05</v>
      </c>
      <c r="J297" s="252">
        <f>Données!J297</f>
        <v>0</v>
      </c>
      <c r="K297" s="252">
        <f>Données!K297</f>
        <v>0</v>
      </c>
      <c r="L297" s="252">
        <f>Données!L297</f>
        <v>-8826.93</v>
      </c>
      <c r="M297" s="252">
        <f>Données!M297</f>
        <v>0</v>
      </c>
      <c r="N297" s="252">
        <f>Données!N297</f>
        <v>2584.4699999999998</v>
      </c>
      <c r="O297" s="252">
        <f>Données!O297</f>
        <v>29902.05</v>
      </c>
      <c r="P297" s="252">
        <f>Données!P297</f>
        <v>7278.19</v>
      </c>
      <c r="Q297" s="252">
        <f>Données!Q297</f>
        <v>0</v>
      </c>
      <c r="R297" s="252">
        <f>Données!R297</f>
        <v>0</v>
      </c>
      <c r="S297" s="244"/>
      <c r="T297" s="236">
        <f t="shared" si="24"/>
        <v>309127.37992040353</v>
      </c>
      <c r="U297" s="253">
        <f t="shared" si="25"/>
        <v>29902.05</v>
      </c>
      <c r="V297" s="253">
        <f t="shared" si="26"/>
        <v>7278.19</v>
      </c>
      <c r="W297" s="254">
        <f t="shared" si="27"/>
        <v>346307.61992040352</v>
      </c>
      <c r="X297" s="236">
        <f t="shared" si="28"/>
        <v>1749.0283834363813</v>
      </c>
      <c r="Y297" s="255">
        <f t="shared" si="29"/>
        <v>0.50510049881607622</v>
      </c>
    </row>
    <row r="298" spans="1:25" x14ac:dyDescent="0.25">
      <c r="A298" s="111">
        <f>Données!A298</f>
        <v>5929</v>
      </c>
      <c r="B298" s="119" t="str">
        <f>Données!B298</f>
        <v>Suchy</v>
      </c>
      <c r="C298" s="249">
        <f>Données!C298</f>
        <v>672</v>
      </c>
      <c r="D298" s="250">
        <f>Données!D298</f>
        <v>70</v>
      </c>
      <c r="E298" s="251">
        <f>Données!E298</f>
        <v>0.8</v>
      </c>
      <c r="F298" s="252">
        <f>Données!F298</f>
        <v>1255111.75</v>
      </c>
      <c r="G298" s="252">
        <f>Données!G298</f>
        <v>125104.5</v>
      </c>
      <c r="H298" s="252">
        <f>Données!H298</f>
        <v>55565.1</v>
      </c>
      <c r="I298" s="252">
        <f>Données!I298</f>
        <v>1752.35</v>
      </c>
      <c r="J298" s="252">
        <f>Données!J298</f>
        <v>70205.3</v>
      </c>
      <c r="K298" s="252">
        <f>Données!K298</f>
        <v>117.05</v>
      </c>
      <c r="L298" s="252">
        <f>Données!L298</f>
        <v>-21234.03</v>
      </c>
      <c r="M298" s="252">
        <f>Données!M298</f>
        <v>0</v>
      </c>
      <c r="N298" s="252">
        <f>Données!N298</f>
        <v>5336.17</v>
      </c>
      <c r="O298" s="252">
        <f>Données!O298</f>
        <v>100892.35</v>
      </c>
      <c r="P298" s="252">
        <f>Données!P298</f>
        <v>11235.08</v>
      </c>
      <c r="Q298" s="252">
        <f>Données!Q298</f>
        <v>0</v>
      </c>
      <c r="R298" s="252">
        <f>Données!R298</f>
        <v>-12.7</v>
      </c>
      <c r="S298" s="244"/>
      <c r="T298" s="236">
        <f t="shared" si="24"/>
        <v>1434702.7212745389</v>
      </c>
      <c r="U298" s="253">
        <f t="shared" si="25"/>
        <v>126115.4375</v>
      </c>
      <c r="V298" s="253">
        <f t="shared" si="26"/>
        <v>11222.38</v>
      </c>
      <c r="W298" s="254">
        <f t="shared" si="27"/>
        <v>1572040.5387745388</v>
      </c>
      <c r="X298" s="236">
        <f t="shared" si="28"/>
        <v>2339.3460398430639</v>
      </c>
      <c r="Y298" s="255">
        <f t="shared" si="29"/>
        <v>0.67557785958087246</v>
      </c>
    </row>
    <row r="299" spans="1:25" x14ac:dyDescent="0.25">
      <c r="A299" s="111">
        <f>Données!A299</f>
        <v>5930</v>
      </c>
      <c r="B299" s="119" t="str">
        <f>Données!B299</f>
        <v>Suscévaz</v>
      </c>
      <c r="C299" s="249">
        <f>Données!C299</f>
        <v>263</v>
      </c>
      <c r="D299" s="250">
        <f>Données!D299</f>
        <v>72</v>
      </c>
      <c r="E299" s="251">
        <f>Données!E299</f>
        <v>1</v>
      </c>
      <c r="F299" s="252">
        <f>Données!F299</f>
        <v>401384.65</v>
      </c>
      <c r="G299" s="252">
        <f>Données!G299</f>
        <v>37893.56</v>
      </c>
      <c r="H299" s="252">
        <f>Données!H299</f>
        <v>3514.95</v>
      </c>
      <c r="I299" s="252">
        <f>Données!I299</f>
        <v>1573.65</v>
      </c>
      <c r="J299" s="252">
        <f>Données!J299</f>
        <v>0</v>
      </c>
      <c r="K299" s="252">
        <f>Données!K299</f>
        <v>0</v>
      </c>
      <c r="L299" s="252">
        <f>Données!L299</f>
        <v>-6805.35</v>
      </c>
      <c r="M299" s="252">
        <f>Données!M299</f>
        <v>0</v>
      </c>
      <c r="N299" s="252">
        <f>Données!N299</f>
        <v>473.74</v>
      </c>
      <c r="O299" s="252">
        <f>Données!O299</f>
        <v>33589.949999999997</v>
      </c>
      <c r="P299" s="252">
        <f>Données!P299</f>
        <v>20884.8</v>
      </c>
      <c r="Q299" s="252">
        <f>Données!Q299</f>
        <v>1003.85</v>
      </c>
      <c r="R299" s="252">
        <f>Données!R299</f>
        <v>-108.6</v>
      </c>
      <c r="S299" s="244"/>
      <c r="T299" s="236">
        <f t="shared" si="24"/>
        <v>409524.43905823625</v>
      </c>
      <c r="U299" s="253">
        <f t="shared" si="25"/>
        <v>33589.949999999997</v>
      </c>
      <c r="V299" s="253">
        <f t="shared" si="26"/>
        <v>21780.05</v>
      </c>
      <c r="W299" s="254">
        <f t="shared" si="27"/>
        <v>464894.43905823625</v>
      </c>
      <c r="X299" s="236">
        <f t="shared" si="28"/>
        <v>1767.6594640997575</v>
      </c>
      <c r="Y299" s="255">
        <f t="shared" si="29"/>
        <v>0.51048095360210122</v>
      </c>
    </row>
    <row r="300" spans="1:25" x14ac:dyDescent="0.25">
      <c r="A300" s="111">
        <f>Données!A300</f>
        <v>5931</v>
      </c>
      <c r="B300" s="119" t="str">
        <f>Données!B300</f>
        <v>Treycovagnes</v>
      </c>
      <c r="C300" s="249">
        <f>Données!C300</f>
        <v>518</v>
      </c>
      <c r="D300" s="250">
        <f>Données!D300</f>
        <v>73</v>
      </c>
      <c r="E300" s="251">
        <f>Données!E300</f>
        <v>1</v>
      </c>
      <c r="F300" s="252">
        <f>Données!F300</f>
        <v>795982.22</v>
      </c>
      <c r="G300" s="252">
        <f>Données!G300</f>
        <v>108174.91</v>
      </c>
      <c r="H300" s="252">
        <f>Données!H300</f>
        <v>60815.35</v>
      </c>
      <c r="I300" s="252">
        <f>Données!I300</f>
        <v>3667.8</v>
      </c>
      <c r="J300" s="252">
        <f>Données!J300</f>
        <v>0</v>
      </c>
      <c r="K300" s="252">
        <f>Données!K300</f>
        <v>4679.21</v>
      </c>
      <c r="L300" s="252">
        <f>Données!L300</f>
        <v>-8781.17</v>
      </c>
      <c r="M300" s="252">
        <f>Données!M300</f>
        <v>0</v>
      </c>
      <c r="N300" s="252">
        <f>Données!N300</f>
        <v>6003.29</v>
      </c>
      <c r="O300" s="252">
        <f>Données!O300</f>
        <v>93208.15</v>
      </c>
      <c r="P300" s="252">
        <f>Données!P300</f>
        <v>29659.48</v>
      </c>
      <c r="Q300" s="252">
        <f>Données!Q300</f>
        <v>1351.4</v>
      </c>
      <c r="R300" s="252">
        <f>Données!R300</f>
        <v>-53.05</v>
      </c>
      <c r="S300" s="244"/>
      <c r="T300" s="236">
        <f t="shared" si="24"/>
        <v>894941.42004809587</v>
      </c>
      <c r="U300" s="253">
        <f t="shared" si="25"/>
        <v>93208.15</v>
      </c>
      <c r="V300" s="253">
        <f t="shared" si="26"/>
        <v>30957.83</v>
      </c>
      <c r="W300" s="254">
        <f t="shared" si="27"/>
        <v>1019107.4000480958</v>
      </c>
      <c r="X300" s="236">
        <f t="shared" si="28"/>
        <v>1967.3888031816523</v>
      </c>
      <c r="Y300" s="255">
        <f t="shared" si="29"/>
        <v>0.56816062864560213</v>
      </c>
    </row>
    <row r="301" spans="1:25" x14ac:dyDescent="0.25">
      <c r="A301" s="111">
        <f>Données!A301</f>
        <v>5932</v>
      </c>
      <c r="B301" s="119" t="str">
        <f>Données!B301</f>
        <v>Ursins</v>
      </c>
      <c r="C301" s="249">
        <f>Données!C301</f>
        <v>227</v>
      </c>
      <c r="D301" s="250">
        <f>Données!D301</f>
        <v>75</v>
      </c>
      <c r="E301" s="251">
        <f>Données!E301</f>
        <v>1</v>
      </c>
      <c r="F301" s="252">
        <f>Données!F301</f>
        <v>616819.49</v>
      </c>
      <c r="G301" s="252">
        <f>Données!G301</f>
        <v>64412.51</v>
      </c>
      <c r="H301" s="252">
        <f>Données!H301</f>
        <v>1933.35</v>
      </c>
      <c r="I301" s="252">
        <f>Données!I301</f>
        <v>1384.95</v>
      </c>
      <c r="J301" s="252">
        <f>Données!J301</f>
        <v>49480.45</v>
      </c>
      <c r="K301" s="252">
        <f>Données!K301</f>
        <v>0</v>
      </c>
      <c r="L301" s="252">
        <f>Données!L301</f>
        <v>-19886.34</v>
      </c>
      <c r="M301" s="252">
        <f>Données!M301</f>
        <v>0</v>
      </c>
      <c r="N301" s="252">
        <f>Données!N301</f>
        <v>308.93</v>
      </c>
      <c r="O301" s="252">
        <f>Données!O301</f>
        <v>35500.800000000003</v>
      </c>
      <c r="P301" s="252">
        <f>Données!P301</f>
        <v>10538.86</v>
      </c>
      <c r="Q301" s="252">
        <f>Données!Q301</f>
        <v>819.5</v>
      </c>
      <c r="R301" s="252">
        <f>Données!R301</f>
        <v>-550.45000000000005</v>
      </c>
      <c r="S301" s="244"/>
      <c r="T301" s="236">
        <f t="shared" si="24"/>
        <v>641233.07707899273</v>
      </c>
      <c r="U301" s="253">
        <f t="shared" si="25"/>
        <v>35500.800000000003</v>
      </c>
      <c r="V301" s="253">
        <f t="shared" si="26"/>
        <v>10807.91</v>
      </c>
      <c r="W301" s="254">
        <f t="shared" si="27"/>
        <v>687541.78707899281</v>
      </c>
      <c r="X301" s="236">
        <f t="shared" si="28"/>
        <v>3028.8184452819069</v>
      </c>
      <c r="Y301" s="255">
        <f t="shared" si="29"/>
        <v>0.87469004049520049</v>
      </c>
    </row>
    <row r="302" spans="1:25" x14ac:dyDescent="0.25">
      <c r="A302" s="111">
        <f>Données!A302</f>
        <v>5933</v>
      </c>
      <c r="B302" s="119" t="str">
        <f>Données!B302</f>
        <v>Valeyres-sous-Montagny</v>
      </c>
      <c r="C302" s="249">
        <f>Données!C302</f>
        <v>717</v>
      </c>
      <c r="D302" s="250">
        <f>Données!D302</f>
        <v>70.5</v>
      </c>
      <c r="E302" s="251">
        <f>Données!E302</f>
        <v>1</v>
      </c>
      <c r="F302" s="252">
        <f>Données!F302</f>
        <v>1412703.62</v>
      </c>
      <c r="G302" s="252">
        <f>Données!G302</f>
        <v>220961.75</v>
      </c>
      <c r="H302" s="252">
        <f>Données!H302</f>
        <v>46705.35</v>
      </c>
      <c r="I302" s="252">
        <f>Données!I302</f>
        <v>2456.1</v>
      </c>
      <c r="J302" s="252">
        <f>Données!J302</f>
        <v>0</v>
      </c>
      <c r="K302" s="252">
        <f>Données!K302</f>
        <v>3871.66</v>
      </c>
      <c r="L302" s="252">
        <f>Données!L302</f>
        <v>-18311.650000000001</v>
      </c>
      <c r="M302" s="252">
        <f>Données!M302</f>
        <v>0</v>
      </c>
      <c r="N302" s="252">
        <f>Données!N302</f>
        <v>4576.8599999999997</v>
      </c>
      <c r="O302" s="252">
        <f>Données!O302</f>
        <v>135185.75</v>
      </c>
      <c r="P302" s="252">
        <f>Données!P302</f>
        <v>11228.73</v>
      </c>
      <c r="Q302" s="252">
        <f>Données!Q302</f>
        <v>4722.05</v>
      </c>
      <c r="R302" s="252">
        <f>Données!R302</f>
        <v>-33.299999999999997</v>
      </c>
      <c r="S302" s="244"/>
      <c r="T302" s="236">
        <f t="shared" si="24"/>
        <v>1597352.2851723342</v>
      </c>
      <c r="U302" s="253">
        <f t="shared" si="25"/>
        <v>135185.75</v>
      </c>
      <c r="V302" s="253">
        <f t="shared" si="26"/>
        <v>15917.48</v>
      </c>
      <c r="W302" s="254">
        <f t="shared" si="27"/>
        <v>1748455.5151723342</v>
      </c>
      <c r="X302" s="236">
        <f t="shared" si="28"/>
        <v>2438.5711508679697</v>
      </c>
      <c r="Y302" s="255">
        <f t="shared" si="29"/>
        <v>0.70423299951364504</v>
      </c>
    </row>
    <row r="303" spans="1:25" x14ac:dyDescent="0.25">
      <c r="A303" s="111">
        <f>Données!A303</f>
        <v>5934</v>
      </c>
      <c r="B303" s="119" t="str">
        <f>Données!B303</f>
        <v>Valeyres-sous-Ursins</v>
      </c>
      <c r="C303" s="249">
        <f>Données!C303</f>
        <v>225</v>
      </c>
      <c r="D303" s="250">
        <f>Données!D303</f>
        <v>77</v>
      </c>
      <c r="E303" s="251">
        <f>Données!E303</f>
        <v>1</v>
      </c>
      <c r="F303" s="252">
        <f>Données!F303</f>
        <v>446990.99</v>
      </c>
      <c r="G303" s="252">
        <f>Données!G303</f>
        <v>40611.58</v>
      </c>
      <c r="H303" s="252">
        <f>Données!H303</f>
        <v>2247.6</v>
      </c>
      <c r="I303" s="252">
        <f>Données!I303</f>
        <v>896.35</v>
      </c>
      <c r="J303" s="252">
        <f>Données!J303</f>
        <v>0</v>
      </c>
      <c r="K303" s="252">
        <f>Données!K303</f>
        <v>0</v>
      </c>
      <c r="L303" s="252">
        <f>Données!L303</f>
        <v>-8028.37</v>
      </c>
      <c r="M303" s="252">
        <f>Données!M303</f>
        <v>0</v>
      </c>
      <c r="N303" s="252">
        <f>Données!N303</f>
        <v>292.7</v>
      </c>
      <c r="O303" s="252">
        <f>Données!O303</f>
        <v>34078.699999999997</v>
      </c>
      <c r="P303" s="252">
        <f>Données!P303</f>
        <v>10213.780000000001</v>
      </c>
      <c r="Q303" s="252">
        <f>Données!Q303</f>
        <v>1963.5</v>
      </c>
      <c r="R303" s="252">
        <f>Données!R303</f>
        <v>-108.75</v>
      </c>
      <c r="S303" s="244"/>
      <c r="T303" s="236">
        <f t="shared" si="24"/>
        <v>422249.8175673213</v>
      </c>
      <c r="U303" s="253">
        <f t="shared" si="25"/>
        <v>34078.699999999997</v>
      </c>
      <c r="V303" s="253">
        <f t="shared" si="26"/>
        <v>12068.53</v>
      </c>
      <c r="W303" s="254">
        <f t="shared" si="27"/>
        <v>468397.04756732134</v>
      </c>
      <c r="X303" s="236">
        <f t="shared" si="28"/>
        <v>2081.7646558547617</v>
      </c>
      <c r="Y303" s="255">
        <f t="shared" si="29"/>
        <v>0.6011911390620176</v>
      </c>
    </row>
    <row r="304" spans="1:25" x14ac:dyDescent="0.25">
      <c r="A304" s="111">
        <f>Données!A304</f>
        <v>5935</v>
      </c>
      <c r="B304" s="119" t="str">
        <f>Données!B304</f>
        <v>Villars-Epeney</v>
      </c>
      <c r="C304" s="249">
        <f>Données!C304</f>
        <v>109</v>
      </c>
      <c r="D304" s="250">
        <f>Données!D304</f>
        <v>68</v>
      </c>
      <c r="E304" s="251">
        <f>Données!E304</f>
        <v>1</v>
      </c>
      <c r="F304" s="252">
        <f>Données!F304</f>
        <v>294534.14</v>
      </c>
      <c r="G304" s="252">
        <f>Données!G304</f>
        <v>127362.56</v>
      </c>
      <c r="H304" s="252">
        <f>Données!H304</f>
        <v>13743.75</v>
      </c>
      <c r="I304" s="252">
        <f>Données!I304</f>
        <v>1322.65</v>
      </c>
      <c r="J304" s="252">
        <f>Données!J304</f>
        <v>0</v>
      </c>
      <c r="K304" s="252">
        <f>Données!K304</f>
        <v>84.9</v>
      </c>
      <c r="L304" s="252">
        <f>Données!L304</f>
        <v>-17624.89</v>
      </c>
      <c r="M304" s="252">
        <f>Données!M304</f>
        <v>0</v>
      </c>
      <c r="N304" s="252">
        <f>Données!N304</f>
        <v>1402.66</v>
      </c>
      <c r="O304" s="252">
        <f>Données!O304</f>
        <v>24417.4</v>
      </c>
      <c r="P304" s="252">
        <f>Données!P304</f>
        <v>1265.42</v>
      </c>
      <c r="Q304" s="252">
        <f>Données!Q304</f>
        <v>0</v>
      </c>
      <c r="R304" s="252">
        <f>Données!R304</f>
        <v>-1466.35</v>
      </c>
      <c r="S304" s="244"/>
      <c r="T304" s="236">
        <f t="shared" si="24"/>
        <v>416578.3766731674</v>
      </c>
      <c r="U304" s="253">
        <f t="shared" si="25"/>
        <v>24417.4</v>
      </c>
      <c r="V304" s="253">
        <f t="shared" si="26"/>
        <v>-200.92999999999984</v>
      </c>
      <c r="W304" s="254">
        <f t="shared" si="27"/>
        <v>440794.84667316743</v>
      </c>
      <c r="X304" s="236">
        <f t="shared" si="28"/>
        <v>4043.9894190198847</v>
      </c>
      <c r="Y304" s="255">
        <f t="shared" si="29"/>
        <v>1.1678604487485011</v>
      </c>
    </row>
    <row r="305" spans="1:25" x14ac:dyDescent="0.25">
      <c r="A305" s="111">
        <f>Données!A305</f>
        <v>5937</v>
      </c>
      <c r="B305" s="119" t="str">
        <f>Données!B305</f>
        <v>Vugelles-La Mothe</v>
      </c>
      <c r="C305" s="249">
        <f>Données!C305</f>
        <v>142</v>
      </c>
      <c r="D305" s="250">
        <f>Données!D305</f>
        <v>70</v>
      </c>
      <c r="E305" s="251">
        <f>Données!E305</f>
        <v>0.7</v>
      </c>
      <c r="F305" s="252">
        <f>Données!F305</f>
        <v>167043.47</v>
      </c>
      <c r="G305" s="252">
        <f>Données!G305</f>
        <v>35372.769999999997</v>
      </c>
      <c r="H305" s="252">
        <f>Données!H305</f>
        <v>11623.55</v>
      </c>
      <c r="I305" s="252">
        <f>Données!I305</f>
        <v>685</v>
      </c>
      <c r="J305" s="252">
        <f>Données!J305</f>
        <v>0</v>
      </c>
      <c r="K305" s="252">
        <f>Données!K305</f>
        <v>0</v>
      </c>
      <c r="L305" s="252">
        <f>Données!L305</f>
        <v>-5450.04</v>
      </c>
      <c r="M305" s="252">
        <f>Données!M305</f>
        <v>0</v>
      </c>
      <c r="N305" s="252">
        <f>Données!N305</f>
        <v>1145.9100000000001</v>
      </c>
      <c r="O305" s="252">
        <f>Données!O305</f>
        <v>14271.39</v>
      </c>
      <c r="P305" s="252">
        <f>Données!P305</f>
        <v>10720.64</v>
      </c>
      <c r="Q305" s="252">
        <f>Données!Q305</f>
        <v>0</v>
      </c>
      <c r="R305" s="252">
        <f>Données!R305</f>
        <v>0</v>
      </c>
      <c r="S305" s="244"/>
      <c r="T305" s="236">
        <f t="shared" si="24"/>
        <v>202345.54529600084</v>
      </c>
      <c r="U305" s="253">
        <f t="shared" si="25"/>
        <v>20387.7</v>
      </c>
      <c r="V305" s="253">
        <f t="shared" si="26"/>
        <v>10720.64</v>
      </c>
      <c r="W305" s="254">
        <f t="shared" si="27"/>
        <v>233453.88529600087</v>
      </c>
      <c r="X305" s="236">
        <f t="shared" si="28"/>
        <v>1644.0414457464849</v>
      </c>
      <c r="Y305" s="255">
        <f t="shared" si="29"/>
        <v>0.47478140559921767</v>
      </c>
    </row>
    <row r="306" spans="1:25" x14ac:dyDescent="0.25">
      <c r="A306" s="111">
        <f>Données!A306</f>
        <v>5938</v>
      </c>
      <c r="B306" s="119" t="str">
        <f>Données!B306</f>
        <v>Yverdon-les-Bains</v>
      </c>
      <c r="C306" s="249">
        <f>Données!C306</f>
        <v>30600</v>
      </c>
      <c r="D306" s="250">
        <f>Données!D306</f>
        <v>75</v>
      </c>
      <c r="E306" s="251">
        <f>Données!E306</f>
        <v>1.5</v>
      </c>
      <c r="F306" s="252">
        <f>Données!F306</f>
        <v>41459093.649999999</v>
      </c>
      <c r="G306" s="252">
        <f>Données!G306</f>
        <v>4780032.42</v>
      </c>
      <c r="H306" s="252">
        <f>Données!H306</f>
        <v>4258131.8499999996</v>
      </c>
      <c r="I306" s="252">
        <f>Données!I306</f>
        <v>782111.35</v>
      </c>
      <c r="J306" s="252">
        <f>Données!J306</f>
        <v>0</v>
      </c>
      <c r="K306" s="252">
        <f>Données!K306</f>
        <v>426917.49</v>
      </c>
      <c r="L306" s="252">
        <f>Données!L306</f>
        <v>-1272176.17</v>
      </c>
      <c r="M306" s="252">
        <f>Données!M306</f>
        <v>0</v>
      </c>
      <c r="N306" s="252">
        <f>Données!N306</f>
        <v>469117.31</v>
      </c>
      <c r="O306" s="252">
        <f>Données!O306</f>
        <v>7566414.3499999996</v>
      </c>
      <c r="P306" s="252">
        <f>Données!P306</f>
        <v>2414086.85</v>
      </c>
      <c r="Q306" s="252">
        <f>Données!Q306</f>
        <v>701691</v>
      </c>
      <c r="R306" s="252">
        <f>Données!R306</f>
        <v>-15576.66</v>
      </c>
      <c r="S306" s="244"/>
      <c r="T306" s="236">
        <f t="shared" si="24"/>
        <v>45686445.331153795</v>
      </c>
      <c r="U306" s="253">
        <f t="shared" si="25"/>
        <v>5044276.2333333334</v>
      </c>
      <c r="V306" s="253">
        <f t="shared" si="26"/>
        <v>3100201.19</v>
      </c>
      <c r="W306" s="254">
        <f t="shared" si="27"/>
        <v>53830922.754487127</v>
      </c>
      <c r="X306" s="236">
        <f t="shared" si="28"/>
        <v>1759.1804821727819</v>
      </c>
      <c r="Y306" s="255">
        <f t="shared" si="29"/>
        <v>0.50803231523732328</v>
      </c>
    </row>
    <row r="307" spans="1:25" x14ac:dyDescent="0.25">
      <c r="A307" s="113">
        <f>Données!A307</f>
        <v>5939</v>
      </c>
      <c r="B307" s="120" t="str">
        <f>Données!B307</f>
        <v>Yvonand</v>
      </c>
      <c r="C307" s="249">
        <f>Données!C307</f>
        <v>3536</v>
      </c>
      <c r="D307" s="256">
        <f>Données!D307</f>
        <v>73</v>
      </c>
      <c r="E307" s="257">
        <f>Données!E307</f>
        <v>1</v>
      </c>
      <c r="F307" s="252">
        <f>Données!F307</f>
        <v>5396034.4400000004</v>
      </c>
      <c r="G307" s="252">
        <f>Données!G307</f>
        <v>738592.4</v>
      </c>
      <c r="H307" s="252">
        <f>Données!H307</f>
        <v>93794.6</v>
      </c>
      <c r="I307" s="252">
        <f>Données!I307</f>
        <v>32324.7</v>
      </c>
      <c r="J307" s="252">
        <f>Données!J307</f>
        <v>0</v>
      </c>
      <c r="K307" s="252">
        <f>Données!K307</f>
        <v>11893.19</v>
      </c>
      <c r="L307" s="252">
        <f>Données!L307</f>
        <v>-115121.56</v>
      </c>
      <c r="M307" s="252">
        <f>Données!M307</f>
        <v>0</v>
      </c>
      <c r="N307" s="252">
        <f>Données!N307</f>
        <v>11741.53</v>
      </c>
      <c r="O307" s="252">
        <f>Données!O307</f>
        <v>628496.4</v>
      </c>
      <c r="P307" s="252">
        <f>Données!P307</f>
        <v>87978.48</v>
      </c>
      <c r="Q307" s="252">
        <f>Données!Q307</f>
        <v>58538.35</v>
      </c>
      <c r="R307" s="252">
        <f>Données!R307</f>
        <v>-657.9</v>
      </c>
      <c r="S307" s="244"/>
      <c r="T307" s="258">
        <f t="shared" si="24"/>
        <v>5688705.7924151476</v>
      </c>
      <c r="U307" s="259">
        <f t="shared" si="25"/>
        <v>628496.4</v>
      </c>
      <c r="V307" s="259">
        <f t="shared" si="26"/>
        <v>145858.93</v>
      </c>
      <c r="W307" s="260">
        <f t="shared" si="27"/>
        <v>6463061.1224151477</v>
      </c>
      <c r="X307" s="258">
        <f t="shared" si="28"/>
        <v>1827.7887789635599</v>
      </c>
      <c r="Y307" s="261">
        <f t="shared" si="29"/>
        <v>0.52784565003515949</v>
      </c>
    </row>
    <row r="308" spans="1:25" x14ac:dyDescent="0.25">
      <c r="A308" s="510" t="s">
        <v>25</v>
      </c>
      <c r="B308" s="511"/>
      <c r="C308" s="262">
        <f>SUM(C8:C307)</f>
        <v>864226</v>
      </c>
      <c r="D308" s="262" t="s">
        <v>26</v>
      </c>
      <c r="E308" s="262" t="s">
        <v>26</v>
      </c>
      <c r="F308" s="262">
        <f>SUM(F8:F307)</f>
        <v>1823507466.6000009</v>
      </c>
      <c r="G308" s="262">
        <f>SUM(G8:G307)</f>
        <v>367521442.95000005</v>
      </c>
      <c r="H308" s="262">
        <f>SUM(H8:H307)</f>
        <v>415574976.04999995</v>
      </c>
      <c r="I308" s="262">
        <f>SUM(I8:I307)</f>
        <v>34463012.899999969</v>
      </c>
      <c r="J308" s="262">
        <f>SUM(J8:J307)</f>
        <v>43203504.680000007</v>
      </c>
      <c r="K308" s="262">
        <f t="shared" ref="K308:L308" si="30">SUM(K8:K307)</f>
        <v>8475688.1299999952</v>
      </c>
      <c r="L308" s="262">
        <f t="shared" si="30"/>
        <v>-34090560.859999992</v>
      </c>
      <c r="M308" s="262">
        <f t="shared" ref="M308:R308" si="31">SUM(M8:M307)</f>
        <v>0</v>
      </c>
      <c r="N308" s="262">
        <f t="shared" si="31"/>
        <v>40590297.160000004</v>
      </c>
      <c r="O308" s="262">
        <f t="shared" si="31"/>
        <v>251870041.20000008</v>
      </c>
      <c r="P308" s="262">
        <f t="shared" si="31"/>
        <v>82474339.519999996</v>
      </c>
      <c r="Q308" s="262">
        <f t="shared" si="31"/>
        <v>22404856.950000003</v>
      </c>
      <c r="R308" s="262">
        <f t="shared" si="31"/>
        <v>-20160323.930000007</v>
      </c>
      <c r="S308" s="244"/>
      <c r="T308" s="258">
        <f>SUM(T8:T307)</f>
        <v>2699245827.6100025</v>
      </c>
      <c r="U308" s="258">
        <f>SUM(U8:U307)</f>
        <v>208619562.28228948</v>
      </c>
      <c r="V308" s="258">
        <f>SUM(V8:V307)</f>
        <v>84718872.539999917</v>
      </c>
      <c r="W308" s="263">
        <f t="shared" si="27"/>
        <v>2992584262.432292</v>
      </c>
      <c r="X308" s="258">
        <f t="shared" si="28"/>
        <v>3462.7334313388997</v>
      </c>
      <c r="Y308" s="264">
        <f t="shared" si="29"/>
        <v>1</v>
      </c>
    </row>
  </sheetData>
  <sheetProtection sheet="1" objects="1" scenarios="1"/>
  <mergeCells count="25">
    <mergeCell ref="J6:J7"/>
    <mergeCell ref="K6:K7"/>
    <mergeCell ref="L6:L7"/>
    <mergeCell ref="M6:M7"/>
    <mergeCell ref="E6:E7"/>
    <mergeCell ref="F6:F7"/>
    <mergeCell ref="G6:G7"/>
    <mergeCell ref="H6:H7"/>
    <mergeCell ref="I6:I7"/>
    <mergeCell ref="A308:B308"/>
    <mergeCell ref="A6:A7"/>
    <mergeCell ref="B6:B7"/>
    <mergeCell ref="C6:C7"/>
    <mergeCell ref="D6:D7"/>
    <mergeCell ref="W6:Y6"/>
    <mergeCell ref="T6:T7"/>
    <mergeCell ref="U6:U7"/>
    <mergeCell ref="V6:V7"/>
    <mergeCell ref="T2:T3"/>
    <mergeCell ref="U2:U3"/>
    <mergeCell ref="N6:N7"/>
    <mergeCell ref="O6:O7"/>
    <mergeCell ref="P6:P7"/>
    <mergeCell ref="Q6:Q7"/>
    <mergeCell ref="R6:R7"/>
  </mergeCells>
  <hyperlinks>
    <hyperlink ref="F1" location="Données!A1" display="← Précédent" xr:uid="{45228680-B438-40F6-BA86-EBE35B041B02}"/>
    <hyperlink ref="G1" location="'Table des matières'!A1" display="Table des matières" xr:uid="{F5D218E0-01E9-467F-8B2C-16D0EA3044E8}"/>
    <hyperlink ref="H1" location="Ressources!A1" display="Suivant →" xr:uid="{92F0F4A8-DC11-475F-B0F9-CCB78BA7B6A6}"/>
  </hyperlinks>
  <pageMargins left="0.70866141732283472" right="0.70866141732283472" top="0.74803149606299213" bottom="0.74803149606299213" header="0.31496062992125984" footer="0.31496062992125984"/>
  <pageSetup paperSize="9" scale="3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ABC96-F79D-4BD5-AE0F-0FA12C271223}">
  <sheetPr codeName="Feuil3">
    <tabColor theme="7" tint="0.79998168889431442"/>
    <pageSetUpPr fitToPage="1"/>
  </sheetPr>
  <dimension ref="A1:W309"/>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7.28515625" style="1" customWidth="1"/>
    <col min="3" max="3" width="10.7109375" style="1" bestFit="1" customWidth="1"/>
    <col min="4" max="4" width="15.42578125" style="1" customWidth="1"/>
    <col min="5" max="5" width="4.28515625" style="1" customWidth="1"/>
    <col min="6" max="6" width="11.140625" style="1" customWidth="1"/>
    <col min="7" max="7" width="11" style="1" customWidth="1"/>
    <col min="8" max="8" width="14.28515625" style="1" customWidth="1"/>
    <col min="9" max="9" width="4.28515625" style="1" customWidth="1"/>
    <col min="10" max="10" width="13.85546875" style="1" bestFit="1" customWidth="1"/>
    <col min="11" max="11" width="10" style="1" customWidth="1"/>
    <col min="12" max="12" width="12.28515625" style="1" bestFit="1" customWidth="1"/>
    <col min="13" max="13" width="4.28515625" style="1" customWidth="1"/>
    <col min="14" max="17" width="13.28515625" style="1" customWidth="1"/>
    <col min="18" max="18" width="15.7109375" style="1" customWidth="1"/>
    <col min="19" max="20" width="15.85546875" style="1" customWidth="1"/>
    <col min="21" max="23" width="13" style="1" customWidth="1"/>
    <col min="24" max="16384" width="11.42578125" style="1"/>
  </cols>
  <sheetData>
    <row r="1" spans="1:23" ht="26.25" customHeight="1" x14ac:dyDescent="0.25">
      <c r="A1" s="101" t="s">
        <v>2</v>
      </c>
      <c r="D1" s="522" t="s">
        <v>441</v>
      </c>
      <c r="E1" s="522"/>
      <c r="F1" s="100" t="s">
        <v>442</v>
      </c>
      <c r="G1" s="97" t="s">
        <v>443</v>
      </c>
      <c r="H1" s="77"/>
    </row>
    <row r="2" spans="1:23" ht="15" customHeight="1" x14ac:dyDescent="0.25">
      <c r="A2" s="46" t="str">
        <f>_xlfn.CONCAT(Paramètres!M5," ",Paramètres!N5)</f>
        <v>Décompte final 2025</v>
      </c>
      <c r="B2" s="16"/>
      <c r="C2" s="16"/>
      <c r="F2" s="515"/>
      <c r="G2" s="515"/>
      <c r="J2" s="22"/>
    </row>
    <row r="3" spans="1:23" s="4" customFormat="1" ht="15" customHeight="1" x14ac:dyDescent="0.25">
      <c r="A3" s="8"/>
      <c r="F3" s="516" t="s">
        <v>430</v>
      </c>
      <c r="G3" s="517"/>
      <c r="H3" s="518"/>
      <c r="J3" s="516" t="s">
        <v>11</v>
      </c>
      <c r="K3" s="517"/>
      <c r="L3" s="518"/>
      <c r="N3" s="516" t="s">
        <v>20</v>
      </c>
      <c r="O3" s="517"/>
      <c r="P3" s="517"/>
      <c r="Q3" s="517"/>
      <c r="R3" s="517"/>
      <c r="S3" s="517"/>
      <c r="T3" s="518"/>
    </row>
    <row r="4" spans="1:23" ht="15" customHeight="1" x14ac:dyDescent="0.25">
      <c r="D4" s="45"/>
      <c r="E4" s="16"/>
      <c r="F4" s="519"/>
      <c r="G4" s="520"/>
      <c r="H4" s="521"/>
      <c r="J4" s="528"/>
      <c r="K4" s="529"/>
      <c r="L4" s="530"/>
      <c r="M4" s="23"/>
      <c r="N4" s="519"/>
      <c r="O4" s="520"/>
      <c r="P4" s="520"/>
      <c r="Q4" s="520"/>
      <c r="R4" s="520"/>
      <c r="S4" s="520"/>
      <c r="T4" s="521"/>
    </row>
    <row r="5" spans="1:23" x14ac:dyDescent="0.25">
      <c r="F5" s="74" t="s">
        <v>58</v>
      </c>
      <c r="G5" s="75" t="s">
        <v>31</v>
      </c>
      <c r="H5" s="76" t="s">
        <v>440</v>
      </c>
      <c r="J5" s="431" t="s">
        <v>539</v>
      </c>
      <c r="K5" s="76" t="s">
        <v>575</v>
      </c>
      <c r="L5" s="76" t="s">
        <v>21</v>
      </c>
      <c r="N5" s="523" t="s">
        <v>404</v>
      </c>
      <c r="O5" s="524"/>
      <c r="P5" s="524"/>
      <c r="Q5" s="524"/>
      <c r="R5" s="75" t="s">
        <v>21</v>
      </c>
      <c r="S5" s="75" t="s">
        <v>492</v>
      </c>
      <c r="T5" s="76" t="s">
        <v>494</v>
      </c>
    </row>
    <row r="6" spans="1:23" s="4" customFormat="1" ht="15" customHeight="1" x14ac:dyDescent="0.25">
      <c r="A6" s="495" t="s">
        <v>0</v>
      </c>
      <c r="B6" s="525" t="s">
        <v>1</v>
      </c>
      <c r="C6" s="478" t="s">
        <v>29</v>
      </c>
      <c r="D6" s="526" t="s">
        <v>57</v>
      </c>
      <c r="E6" s="5"/>
      <c r="F6" s="25">
        <f>F308</f>
        <v>3462.7334313389024</v>
      </c>
      <c r="G6" s="125">
        <f>Paramètres!C5</f>
        <v>0.8</v>
      </c>
      <c r="H6" s="73" t="str">
        <f>IF(ROUND(H308,5)=0,"OK","ERREUR")</f>
        <v>OK</v>
      </c>
      <c r="J6" s="25">
        <f>F6*K6</f>
        <v>3116.4600882050122</v>
      </c>
      <c r="K6" s="430">
        <f>Paramètres!C6</f>
        <v>0.9</v>
      </c>
      <c r="L6" s="25">
        <f>L308</f>
        <v>-3056165</v>
      </c>
      <c r="M6" s="24"/>
      <c r="N6" s="126">
        <f>Paramètres!C9</f>
        <v>0.5</v>
      </c>
      <c r="O6" s="126">
        <f>Paramètres!C9</f>
        <v>0.5</v>
      </c>
      <c r="P6" s="126">
        <f>Paramètres!C9</f>
        <v>0.5</v>
      </c>
      <c r="Q6" s="126">
        <f>Paramètres!C11</f>
        <v>0.3</v>
      </c>
      <c r="R6" s="25">
        <f>R308</f>
        <v>222275615.79499999</v>
      </c>
      <c r="S6" s="127">
        <f>Paramètres!C12</f>
        <v>450000</v>
      </c>
      <c r="T6" s="25">
        <f>ROUND(SUM(T8:T307),5)</f>
        <v>450000</v>
      </c>
      <c r="U6" s="1"/>
      <c r="V6" s="1"/>
      <c r="W6" s="1"/>
    </row>
    <row r="7" spans="1:23" s="4" customFormat="1" ht="37.5" customHeight="1" x14ac:dyDescent="0.25">
      <c r="A7" s="496"/>
      <c r="B7" s="525"/>
      <c r="C7" s="478"/>
      <c r="D7" s="527"/>
      <c r="E7" s="5"/>
      <c r="F7" s="191" t="s">
        <v>402</v>
      </c>
      <c r="G7" s="191" t="s">
        <v>59</v>
      </c>
      <c r="H7" s="191" t="s">
        <v>10</v>
      </c>
      <c r="J7" s="191" t="s">
        <v>495</v>
      </c>
      <c r="K7" s="191" t="s">
        <v>538</v>
      </c>
      <c r="L7" s="191" t="s">
        <v>493</v>
      </c>
      <c r="M7" s="23"/>
      <c r="N7" s="187" t="s">
        <v>38</v>
      </c>
      <c r="O7" s="187" t="s">
        <v>39</v>
      </c>
      <c r="P7" s="187" t="s">
        <v>40</v>
      </c>
      <c r="Q7" s="187" t="s">
        <v>41</v>
      </c>
      <c r="R7" s="192" t="s">
        <v>20</v>
      </c>
      <c r="S7" s="193" t="s">
        <v>37</v>
      </c>
      <c r="T7" s="187" t="s">
        <v>10</v>
      </c>
    </row>
    <row r="8" spans="1:23" x14ac:dyDescent="0.25">
      <c r="A8" s="110">
        <f>Données!A8</f>
        <v>5401</v>
      </c>
      <c r="B8" s="122" t="str">
        <f>Données!B8</f>
        <v>Aigle</v>
      </c>
      <c r="C8" s="243">
        <f>Données!C8</f>
        <v>12081</v>
      </c>
      <c r="D8" s="240">
        <f>RFS!W8</f>
        <v>19654700.164341923</v>
      </c>
      <c r="E8" s="265"/>
      <c r="F8" s="266">
        <f t="shared" ref="F8:F71" si="0">D8/C8</f>
        <v>1626.910037607973</v>
      </c>
      <c r="G8" s="267">
        <f>F8-$F$308</f>
        <v>-1835.8233937309294</v>
      </c>
      <c r="H8" s="268">
        <f t="shared" ref="H8:H71" si="1">G8*$G$6*C8</f>
        <v>-17742865.935730688</v>
      </c>
      <c r="I8" s="244"/>
      <c r="J8" s="245">
        <f>(D8-H8)/C8</f>
        <v>3095.5687525927165</v>
      </c>
      <c r="K8" s="267">
        <f t="shared" ref="K8:K71" si="2">IF(J8&lt;$J$6,J8-($J$6),0)</f>
        <v>-20.891335612295734</v>
      </c>
      <c r="L8" s="268">
        <f>ROUND(K8*C8,0)</f>
        <v>-252388</v>
      </c>
      <c r="M8" s="265"/>
      <c r="N8" s="270">
        <f>Données!S8</f>
        <v>1326429.1499999999</v>
      </c>
      <c r="O8" s="270">
        <f>Données!T8</f>
        <v>509055.1</v>
      </c>
      <c r="P8" s="270">
        <f>Données!U8</f>
        <v>691254.7</v>
      </c>
      <c r="Q8" s="240">
        <f>Données!V8</f>
        <v>1797994.6</v>
      </c>
      <c r="R8" s="245">
        <f t="shared" ref="R8:R71" si="3">SUMPRODUCT($N$6:$Q$6,N8:Q8)</f>
        <v>1802767.855</v>
      </c>
      <c r="S8" s="246">
        <f>-($R$308-$S$6)/$C$308*C8</f>
        <v>-3100896.3678706666</v>
      </c>
      <c r="T8" s="247">
        <f>R8+S8</f>
        <v>-1298128.5128706666</v>
      </c>
    </row>
    <row r="9" spans="1:23" x14ac:dyDescent="0.25">
      <c r="A9" s="111">
        <f>Données!A9</f>
        <v>5402</v>
      </c>
      <c r="B9" s="123" t="str">
        <f>Données!B9</f>
        <v>Bex</v>
      </c>
      <c r="C9" s="252">
        <f>Données!C9</f>
        <v>8923</v>
      </c>
      <c r="D9" s="249">
        <f>RFS!W9</f>
        <v>13816757.647332439</v>
      </c>
      <c r="E9" s="265"/>
      <c r="F9" s="271">
        <f t="shared" si="0"/>
        <v>1548.4430849862647</v>
      </c>
      <c r="G9" s="265">
        <f t="shared" ref="G9:G72" si="4">F9-$F$308</f>
        <v>-1914.2903463526377</v>
      </c>
      <c r="H9" s="272">
        <f t="shared" si="1"/>
        <v>-13664970.208403669</v>
      </c>
      <c r="I9" s="244"/>
      <c r="J9" s="236">
        <f t="shared" ref="J9:J72" si="5">(D9-H9)/C9</f>
        <v>3079.8753620683747</v>
      </c>
      <c r="K9" s="265">
        <f t="shared" si="2"/>
        <v>-36.584726136637528</v>
      </c>
      <c r="L9" s="272">
        <f t="shared" ref="L9:L72" si="6">ROUND(K9*C9,0)</f>
        <v>-326446</v>
      </c>
      <c r="M9" s="265"/>
      <c r="N9" s="274">
        <f>Données!S9</f>
        <v>1044377.5</v>
      </c>
      <c r="O9" s="274">
        <f>Données!T9</f>
        <v>420008.2</v>
      </c>
      <c r="P9" s="274">
        <f>Données!U9</f>
        <v>757869.4</v>
      </c>
      <c r="Q9" s="249">
        <f>Données!V9</f>
        <v>535758.75</v>
      </c>
      <c r="R9" s="236">
        <f t="shared" si="3"/>
        <v>1271855.175</v>
      </c>
      <c r="S9" s="253">
        <f t="shared" ref="S9:S71" si="7">-($R$308-$S$6)/$C$308*C9</f>
        <v>-2290315.22974174</v>
      </c>
      <c r="T9" s="254">
        <f t="shared" ref="T9:T72" si="8">R9+S9</f>
        <v>-1018460.05474174</v>
      </c>
    </row>
    <row r="10" spans="1:23" x14ac:dyDescent="0.25">
      <c r="A10" s="111">
        <f>Données!A10</f>
        <v>5403</v>
      </c>
      <c r="B10" s="123" t="str">
        <f>Données!B10</f>
        <v>Chessel</v>
      </c>
      <c r="C10" s="252">
        <f>Données!C10</f>
        <v>525</v>
      </c>
      <c r="D10" s="249">
        <f>RFS!W10</f>
        <v>963628.43923259352</v>
      </c>
      <c r="E10" s="265"/>
      <c r="F10" s="271">
        <f t="shared" si="0"/>
        <v>1835.4827413954163</v>
      </c>
      <c r="G10" s="265">
        <f t="shared" si="4"/>
        <v>-1627.2506899434861</v>
      </c>
      <c r="H10" s="272">
        <f t="shared" si="1"/>
        <v>-683445.28977626422</v>
      </c>
      <c r="I10" s="244"/>
      <c r="J10" s="236">
        <f t="shared" si="5"/>
        <v>3137.283293350205</v>
      </c>
      <c r="K10" s="265">
        <f t="shared" si="2"/>
        <v>0</v>
      </c>
      <c r="L10" s="272">
        <f t="shared" si="6"/>
        <v>0</v>
      </c>
      <c r="M10" s="265"/>
      <c r="N10" s="274">
        <f>Données!S10</f>
        <v>25890.05</v>
      </c>
      <c r="O10" s="274">
        <f>Données!T10</f>
        <v>20047.400000000001</v>
      </c>
      <c r="P10" s="274">
        <f>Données!U10</f>
        <v>15370.05</v>
      </c>
      <c r="Q10" s="249">
        <f>Données!V10</f>
        <v>0</v>
      </c>
      <c r="R10" s="236">
        <f t="shared" si="3"/>
        <v>30653.75</v>
      </c>
      <c r="S10" s="253">
        <f t="shared" si="7"/>
        <v>-134754.62239318766</v>
      </c>
      <c r="T10" s="254">
        <f t="shared" si="8"/>
        <v>-104100.87239318766</v>
      </c>
    </row>
    <row r="11" spans="1:23" x14ac:dyDescent="0.25">
      <c r="A11" s="111">
        <f>Données!A11</f>
        <v>5404</v>
      </c>
      <c r="B11" s="123" t="str">
        <f>Données!B11</f>
        <v>Corbeyrier</v>
      </c>
      <c r="C11" s="252">
        <f>Données!C11</f>
        <v>456</v>
      </c>
      <c r="D11" s="249">
        <f>RFS!W11</f>
        <v>823767.05685307865</v>
      </c>
      <c r="E11" s="265"/>
      <c r="F11" s="271">
        <f t="shared" si="0"/>
        <v>1806.5067036251726</v>
      </c>
      <c r="G11" s="265">
        <f t="shared" si="4"/>
        <v>-1656.2267277137298</v>
      </c>
      <c r="H11" s="272">
        <f t="shared" si="1"/>
        <v>-604191.51026996877</v>
      </c>
      <c r="I11" s="244"/>
      <c r="J11" s="236">
        <f t="shared" si="5"/>
        <v>3131.4880857961571</v>
      </c>
      <c r="K11" s="265">
        <f t="shared" si="2"/>
        <v>0</v>
      </c>
      <c r="L11" s="272">
        <f t="shared" si="6"/>
        <v>0</v>
      </c>
      <c r="M11" s="265"/>
      <c r="N11" s="274">
        <f>Données!S11</f>
        <v>51978.8</v>
      </c>
      <c r="O11" s="274">
        <f>Données!T11</f>
        <v>60555</v>
      </c>
      <c r="P11" s="274">
        <f>Données!U11</f>
        <v>60280.65</v>
      </c>
      <c r="Q11" s="249">
        <f>Données!V11</f>
        <v>18780.2</v>
      </c>
      <c r="R11" s="236">
        <f t="shared" si="3"/>
        <v>92041.285000000003</v>
      </c>
      <c r="S11" s="253">
        <f t="shared" si="7"/>
        <v>-117044.01487865442</v>
      </c>
      <c r="T11" s="254">
        <f t="shared" si="8"/>
        <v>-25002.729878654412</v>
      </c>
    </row>
    <row r="12" spans="1:23" x14ac:dyDescent="0.25">
      <c r="A12" s="111">
        <f>Données!A12</f>
        <v>5405</v>
      </c>
      <c r="B12" s="123" t="str">
        <f>Données!B12</f>
        <v>Gryon</v>
      </c>
      <c r="C12" s="252">
        <f>Données!C12</f>
        <v>1546</v>
      </c>
      <c r="D12" s="249">
        <f>RFS!W12</f>
        <v>5719399.2659537746</v>
      </c>
      <c r="E12" s="265"/>
      <c r="F12" s="271">
        <f t="shared" si="0"/>
        <v>3699.4820607721699</v>
      </c>
      <c r="G12" s="265">
        <f t="shared" si="4"/>
        <v>236.74862943326752</v>
      </c>
      <c r="H12" s="272">
        <f t="shared" si="1"/>
        <v>292810.70488306531</v>
      </c>
      <c r="I12" s="244"/>
      <c r="J12" s="236">
        <f t="shared" si="5"/>
        <v>3510.0831572255561</v>
      </c>
      <c r="K12" s="265">
        <f t="shared" si="2"/>
        <v>0</v>
      </c>
      <c r="L12" s="272">
        <f t="shared" si="6"/>
        <v>0</v>
      </c>
      <c r="M12" s="265"/>
      <c r="N12" s="274">
        <f>Données!S12</f>
        <v>472881.95</v>
      </c>
      <c r="O12" s="274">
        <f>Données!T12</f>
        <v>151360.20000000001</v>
      </c>
      <c r="P12" s="274">
        <f>Données!U12</f>
        <v>322034.7</v>
      </c>
      <c r="Q12" s="249">
        <f>Données!V12</f>
        <v>6978.8</v>
      </c>
      <c r="R12" s="236">
        <f t="shared" si="3"/>
        <v>475232.06500000006</v>
      </c>
      <c r="S12" s="253">
        <f t="shared" si="7"/>
        <v>-396820.27851403452</v>
      </c>
      <c r="T12" s="254">
        <f t="shared" si="8"/>
        <v>78411.786485965538</v>
      </c>
    </row>
    <row r="13" spans="1:23" x14ac:dyDescent="0.25">
      <c r="A13" s="111">
        <f>Données!A13</f>
        <v>5406</v>
      </c>
      <c r="B13" s="123" t="str">
        <f>Données!B13</f>
        <v>Lavey-Morcles</v>
      </c>
      <c r="C13" s="252">
        <f>Données!C13</f>
        <v>1024</v>
      </c>
      <c r="D13" s="249">
        <f>RFS!W13</f>
        <v>1603131.0490979634</v>
      </c>
      <c r="E13" s="265"/>
      <c r="F13" s="271">
        <f t="shared" si="0"/>
        <v>1565.5576651347299</v>
      </c>
      <c r="G13" s="265">
        <f t="shared" si="4"/>
        <v>-1897.1757662041725</v>
      </c>
      <c r="H13" s="272">
        <f t="shared" si="1"/>
        <v>-1554166.3876744583</v>
      </c>
      <c r="I13" s="244"/>
      <c r="J13" s="236">
        <f t="shared" si="5"/>
        <v>3083.2982780980683</v>
      </c>
      <c r="K13" s="265">
        <f t="shared" si="2"/>
        <v>-33.161810106943904</v>
      </c>
      <c r="L13" s="272">
        <f t="shared" si="6"/>
        <v>-33958</v>
      </c>
      <c r="M13" s="265"/>
      <c r="N13" s="274">
        <f>Données!S13</f>
        <v>75270.95</v>
      </c>
      <c r="O13" s="274">
        <f>Données!T13</f>
        <v>21235.3</v>
      </c>
      <c r="P13" s="274">
        <f>Données!U13</f>
        <v>96668.4</v>
      </c>
      <c r="Q13" s="249">
        <f>Données!V13</f>
        <v>58337.1</v>
      </c>
      <c r="R13" s="236">
        <f t="shared" si="3"/>
        <v>114088.45499999999</v>
      </c>
      <c r="S13" s="253">
        <f t="shared" si="7"/>
        <v>-262835.6825345222</v>
      </c>
      <c r="T13" s="254">
        <f t="shared" si="8"/>
        <v>-148747.22753452222</v>
      </c>
    </row>
    <row r="14" spans="1:23" x14ac:dyDescent="0.25">
      <c r="A14" s="111">
        <f>Données!A14</f>
        <v>5407</v>
      </c>
      <c r="B14" s="123" t="str">
        <f>Données!B14</f>
        <v>Leysin</v>
      </c>
      <c r="C14" s="252">
        <f>Données!C14</f>
        <v>3722</v>
      </c>
      <c r="D14" s="249">
        <f>RFS!W14</f>
        <v>6672080.4260144634</v>
      </c>
      <c r="E14" s="265"/>
      <c r="F14" s="271">
        <f t="shared" si="0"/>
        <v>1792.6062401973304</v>
      </c>
      <c r="G14" s="265">
        <f t="shared" si="4"/>
        <v>-1670.127191141572</v>
      </c>
      <c r="H14" s="272">
        <f t="shared" si="1"/>
        <v>-4972970.7243431453</v>
      </c>
      <c r="I14" s="244"/>
      <c r="J14" s="236">
        <f t="shared" si="5"/>
        <v>3128.7079931105877</v>
      </c>
      <c r="K14" s="265">
        <f t="shared" si="2"/>
        <v>0</v>
      </c>
      <c r="L14" s="272">
        <f t="shared" si="6"/>
        <v>0</v>
      </c>
      <c r="M14" s="265"/>
      <c r="N14" s="274">
        <f>Données!S14</f>
        <v>531151.80000000005</v>
      </c>
      <c r="O14" s="274">
        <f>Données!T14</f>
        <v>7249.1</v>
      </c>
      <c r="P14" s="274">
        <f>Données!U14</f>
        <v>497571.2</v>
      </c>
      <c r="Q14" s="249">
        <f>Données!V14</f>
        <v>122107.85</v>
      </c>
      <c r="R14" s="236">
        <f t="shared" si="3"/>
        <v>554618.40500000003</v>
      </c>
      <c r="S14" s="253">
        <f t="shared" si="7"/>
        <v>-955346.10389989417</v>
      </c>
      <c r="T14" s="254">
        <f t="shared" si="8"/>
        <v>-400727.69889989414</v>
      </c>
    </row>
    <row r="15" spans="1:23" x14ac:dyDescent="0.25">
      <c r="A15" s="111">
        <f>Données!A15</f>
        <v>5408</v>
      </c>
      <c r="B15" s="123" t="str">
        <f>Données!B15</f>
        <v>Noville</v>
      </c>
      <c r="C15" s="252">
        <f>Données!C15</f>
        <v>1214</v>
      </c>
      <c r="D15" s="249">
        <f>RFS!W15</f>
        <v>3121251.9528694623</v>
      </c>
      <c r="E15" s="265"/>
      <c r="F15" s="271">
        <f t="shared" si="0"/>
        <v>2571.047737124763</v>
      </c>
      <c r="G15" s="265">
        <f t="shared" si="4"/>
        <v>-891.6856942141394</v>
      </c>
      <c r="H15" s="272">
        <f t="shared" si="1"/>
        <v>-866005.14622077229</v>
      </c>
      <c r="I15" s="244"/>
      <c r="J15" s="236">
        <f t="shared" si="5"/>
        <v>3284.3962924960742</v>
      </c>
      <c r="K15" s="265">
        <f t="shared" si="2"/>
        <v>0</v>
      </c>
      <c r="L15" s="272">
        <f t="shared" si="6"/>
        <v>0</v>
      </c>
      <c r="M15" s="265"/>
      <c r="N15" s="274">
        <f>Données!S15</f>
        <v>158546.95000000001</v>
      </c>
      <c r="O15" s="274">
        <f>Données!T15</f>
        <v>0</v>
      </c>
      <c r="P15" s="274">
        <f>Données!U15</f>
        <v>96184.85</v>
      </c>
      <c r="Q15" s="249">
        <f>Données!V15</f>
        <v>248277.7</v>
      </c>
      <c r="R15" s="236">
        <f t="shared" si="3"/>
        <v>201849.21000000002</v>
      </c>
      <c r="S15" s="253">
        <f t="shared" si="7"/>
        <v>-311604.02206729486</v>
      </c>
      <c r="T15" s="254">
        <f t="shared" si="8"/>
        <v>-109754.81206729484</v>
      </c>
    </row>
    <row r="16" spans="1:23" x14ac:dyDescent="0.25">
      <c r="A16" s="111">
        <f>Données!A16</f>
        <v>5409</v>
      </c>
      <c r="B16" s="123" t="str">
        <f>Données!B16</f>
        <v>Ollon</v>
      </c>
      <c r="C16" s="252">
        <f>Données!C16</f>
        <v>8302</v>
      </c>
      <c r="D16" s="249">
        <f>RFS!W16</f>
        <v>28351148.810199227</v>
      </c>
      <c r="E16" s="265"/>
      <c r="F16" s="271">
        <f t="shared" si="0"/>
        <v>3414.9781751625183</v>
      </c>
      <c r="G16" s="265">
        <f t="shared" si="4"/>
        <v>-47.755256176384137</v>
      </c>
      <c r="H16" s="272">
        <f t="shared" si="1"/>
        <v>-317171.30942107295</v>
      </c>
      <c r="I16" s="244"/>
      <c r="J16" s="236">
        <f t="shared" si="5"/>
        <v>3453.1823801036257</v>
      </c>
      <c r="K16" s="265">
        <f t="shared" si="2"/>
        <v>0</v>
      </c>
      <c r="L16" s="272">
        <f t="shared" si="6"/>
        <v>0</v>
      </c>
      <c r="M16" s="265"/>
      <c r="N16" s="274">
        <f>Données!S16</f>
        <v>2213707.5499999998</v>
      </c>
      <c r="O16" s="274">
        <f>Données!T16</f>
        <v>1974449.4</v>
      </c>
      <c r="P16" s="274">
        <f>Données!U16</f>
        <v>1458742.9</v>
      </c>
      <c r="Q16" s="249">
        <f>Données!V16</f>
        <v>153445.25</v>
      </c>
      <c r="R16" s="236">
        <f t="shared" si="3"/>
        <v>2869483.5</v>
      </c>
      <c r="S16" s="253">
        <f t="shared" si="7"/>
        <v>-2130919.7621109406</v>
      </c>
      <c r="T16" s="254">
        <f t="shared" si="8"/>
        <v>738563.73788905935</v>
      </c>
    </row>
    <row r="17" spans="1:20" x14ac:dyDescent="0.25">
      <c r="A17" s="111">
        <f>Données!A17</f>
        <v>5410</v>
      </c>
      <c r="B17" s="123" t="str">
        <f>Données!B17</f>
        <v>Ormont-Dessous</v>
      </c>
      <c r="C17" s="252">
        <f>Données!C17</f>
        <v>1261</v>
      </c>
      <c r="D17" s="249">
        <f>RFS!W17</f>
        <v>2784572.0654597385</v>
      </c>
      <c r="E17" s="265"/>
      <c r="F17" s="271">
        <f t="shared" si="0"/>
        <v>2208.2252699918622</v>
      </c>
      <c r="G17" s="265">
        <f t="shared" si="4"/>
        <v>-1254.5081613470402</v>
      </c>
      <c r="H17" s="272">
        <f t="shared" si="1"/>
        <v>-1265547.8331668943</v>
      </c>
      <c r="I17" s="244"/>
      <c r="J17" s="236">
        <f t="shared" si="5"/>
        <v>3211.831799069495</v>
      </c>
      <c r="K17" s="265">
        <f t="shared" si="2"/>
        <v>0</v>
      </c>
      <c r="L17" s="272">
        <f t="shared" si="6"/>
        <v>0</v>
      </c>
      <c r="M17" s="265"/>
      <c r="N17" s="274">
        <f>Données!S17</f>
        <v>202211.20000000001</v>
      </c>
      <c r="O17" s="274">
        <f>Données!T17</f>
        <v>105252.2</v>
      </c>
      <c r="P17" s="274">
        <f>Données!U17</f>
        <v>266303.3</v>
      </c>
      <c r="Q17" s="249">
        <f>Données!V17</f>
        <v>21318.35</v>
      </c>
      <c r="R17" s="236">
        <f t="shared" si="3"/>
        <v>293278.85499999998</v>
      </c>
      <c r="S17" s="253">
        <f t="shared" si="7"/>
        <v>-323667.76921487547</v>
      </c>
      <c r="T17" s="254">
        <f t="shared" si="8"/>
        <v>-30388.914214875491</v>
      </c>
    </row>
    <row r="18" spans="1:20" x14ac:dyDescent="0.25">
      <c r="A18" s="111">
        <f>Données!A18</f>
        <v>5411</v>
      </c>
      <c r="B18" s="123" t="str">
        <f>Données!B18</f>
        <v>Ormont-Dessus</v>
      </c>
      <c r="C18" s="252">
        <f>Données!C18</f>
        <v>1440</v>
      </c>
      <c r="D18" s="249">
        <f>RFS!W18</f>
        <v>5742443.5439255591</v>
      </c>
      <c r="E18" s="265"/>
      <c r="F18" s="271">
        <f t="shared" si="0"/>
        <v>3987.8080166149716</v>
      </c>
      <c r="G18" s="265">
        <f t="shared" si="4"/>
        <v>525.07458527606923</v>
      </c>
      <c r="H18" s="272">
        <f t="shared" si="1"/>
        <v>604885.92223803187</v>
      </c>
      <c r="I18" s="244"/>
      <c r="J18" s="236">
        <f t="shared" si="5"/>
        <v>3567.7483483941164</v>
      </c>
      <c r="K18" s="265">
        <f t="shared" si="2"/>
        <v>0</v>
      </c>
      <c r="L18" s="272">
        <f t="shared" si="6"/>
        <v>0</v>
      </c>
      <c r="M18" s="265"/>
      <c r="N18" s="274">
        <f>Données!S18</f>
        <v>491008.4</v>
      </c>
      <c r="O18" s="274">
        <f>Données!T18</f>
        <v>82762.8</v>
      </c>
      <c r="P18" s="274">
        <f>Données!U18</f>
        <v>567704.4</v>
      </c>
      <c r="Q18" s="249">
        <f>Données!V18</f>
        <v>11496.4</v>
      </c>
      <c r="R18" s="236">
        <f t="shared" si="3"/>
        <v>574186.72000000009</v>
      </c>
      <c r="S18" s="253">
        <f t="shared" si="7"/>
        <v>-369612.67856417183</v>
      </c>
      <c r="T18" s="254">
        <f t="shared" si="8"/>
        <v>204574.04143582826</v>
      </c>
    </row>
    <row r="19" spans="1:20" x14ac:dyDescent="0.25">
      <c r="A19" s="111">
        <f>Données!A19</f>
        <v>5412</v>
      </c>
      <c r="B19" s="123" t="str">
        <f>Données!B19</f>
        <v>Rennaz</v>
      </c>
      <c r="C19" s="252">
        <f>Données!C19</f>
        <v>935</v>
      </c>
      <c r="D19" s="249">
        <f>RFS!W19</f>
        <v>1960063.7197410599</v>
      </c>
      <c r="E19" s="265"/>
      <c r="F19" s="271">
        <f t="shared" si="0"/>
        <v>2096.3248339476577</v>
      </c>
      <c r="G19" s="265">
        <f t="shared" si="4"/>
        <v>-1366.4085973912447</v>
      </c>
      <c r="H19" s="272">
        <f t="shared" si="1"/>
        <v>-1022073.6308486511</v>
      </c>
      <c r="I19" s="244"/>
      <c r="J19" s="236">
        <f t="shared" si="5"/>
        <v>3189.4517118606536</v>
      </c>
      <c r="K19" s="265">
        <f t="shared" si="2"/>
        <v>0</v>
      </c>
      <c r="L19" s="272">
        <f t="shared" si="6"/>
        <v>0</v>
      </c>
      <c r="M19" s="265"/>
      <c r="N19" s="274">
        <f>Données!S19</f>
        <v>235507.65</v>
      </c>
      <c r="O19" s="274">
        <f>Données!T19</f>
        <v>45500</v>
      </c>
      <c r="P19" s="274">
        <f>Données!U19</f>
        <v>81913.55</v>
      </c>
      <c r="Q19" s="249">
        <f>Données!V19</f>
        <v>1339075.05</v>
      </c>
      <c r="R19" s="236">
        <f t="shared" si="3"/>
        <v>583183.11499999999</v>
      </c>
      <c r="S19" s="253">
        <f t="shared" si="7"/>
        <v>-239991.56559548658</v>
      </c>
      <c r="T19" s="254">
        <f t="shared" si="8"/>
        <v>343191.54940451344</v>
      </c>
    </row>
    <row r="20" spans="1:20" x14ac:dyDescent="0.25">
      <c r="A20" s="111">
        <f>Données!A20</f>
        <v>5413</v>
      </c>
      <c r="B20" s="123" t="str">
        <f>Données!B20</f>
        <v>Roche</v>
      </c>
      <c r="C20" s="252">
        <f>Données!C20</f>
        <v>2035</v>
      </c>
      <c r="D20" s="249">
        <f>RFS!W20</f>
        <v>3087457.7758989185</v>
      </c>
      <c r="E20" s="265"/>
      <c r="F20" s="271">
        <f t="shared" si="0"/>
        <v>1517.1782682549967</v>
      </c>
      <c r="G20" s="265">
        <f t="shared" si="4"/>
        <v>-1945.5551630839057</v>
      </c>
      <c r="H20" s="272">
        <f t="shared" si="1"/>
        <v>-3167363.8055005986</v>
      </c>
      <c r="I20" s="244"/>
      <c r="J20" s="236">
        <f t="shared" si="5"/>
        <v>3073.6223987221215</v>
      </c>
      <c r="K20" s="265">
        <f t="shared" si="2"/>
        <v>-42.83768948289071</v>
      </c>
      <c r="L20" s="272">
        <f t="shared" si="6"/>
        <v>-87175</v>
      </c>
      <c r="M20" s="265"/>
      <c r="N20" s="274">
        <f>Données!S20</f>
        <v>419346.3</v>
      </c>
      <c r="O20" s="274">
        <f>Données!T20</f>
        <v>8179</v>
      </c>
      <c r="P20" s="274">
        <f>Données!U20</f>
        <v>164111.29999999999</v>
      </c>
      <c r="Q20" s="249">
        <f>Données!V20</f>
        <v>431854.25</v>
      </c>
      <c r="R20" s="236">
        <f t="shared" si="3"/>
        <v>425374.57499999995</v>
      </c>
      <c r="S20" s="253">
        <f t="shared" si="7"/>
        <v>-522334.58394311788</v>
      </c>
      <c r="T20" s="254">
        <f t="shared" si="8"/>
        <v>-96960.008943117922</v>
      </c>
    </row>
    <row r="21" spans="1:20" x14ac:dyDescent="0.25">
      <c r="A21" s="111">
        <f>Données!A21</f>
        <v>5414</v>
      </c>
      <c r="B21" s="123" t="str">
        <f>Données!B21</f>
        <v>Villeneuve</v>
      </c>
      <c r="C21" s="252">
        <f>Données!C21</f>
        <v>6073</v>
      </c>
      <c r="D21" s="249">
        <f>RFS!W21</f>
        <v>11481250.158050183</v>
      </c>
      <c r="E21" s="265"/>
      <c r="F21" s="271">
        <f t="shared" si="0"/>
        <v>1890.5401215297518</v>
      </c>
      <c r="G21" s="265">
        <f t="shared" si="4"/>
        <v>-1572.1933098091506</v>
      </c>
      <c r="H21" s="272">
        <f t="shared" si="1"/>
        <v>-7638343.9763767775</v>
      </c>
      <c r="I21" s="244"/>
      <c r="J21" s="236">
        <f t="shared" si="5"/>
        <v>3148.294769377072</v>
      </c>
      <c r="K21" s="265">
        <f t="shared" si="2"/>
        <v>0</v>
      </c>
      <c r="L21" s="272">
        <f t="shared" si="6"/>
        <v>0</v>
      </c>
      <c r="M21" s="265"/>
      <c r="N21" s="274">
        <f>Données!S21</f>
        <v>984066.25</v>
      </c>
      <c r="O21" s="274">
        <f>Données!T21</f>
        <v>169296.4</v>
      </c>
      <c r="P21" s="274">
        <f>Données!U21</f>
        <v>601789.05000000005</v>
      </c>
      <c r="Q21" s="249">
        <f>Données!V21</f>
        <v>1578502.7</v>
      </c>
      <c r="R21" s="236">
        <f t="shared" si="3"/>
        <v>1351126.66</v>
      </c>
      <c r="S21" s="253">
        <f t="shared" si="7"/>
        <v>-1558790.1367501498</v>
      </c>
      <c r="T21" s="254">
        <f t="shared" si="8"/>
        <v>-207663.47675014986</v>
      </c>
    </row>
    <row r="22" spans="1:20" x14ac:dyDescent="0.25">
      <c r="A22" s="111">
        <f>Données!A22</f>
        <v>5415</v>
      </c>
      <c r="B22" s="123" t="str">
        <f>Données!B22</f>
        <v>Yvorne</v>
      </c>
      <c r="C22" s="252">
        <f>Données!C22</f>
        <v>1119</v>
      </c>
      <c r="D22" s="249">
        <f>RFS!W22</f>
        <v>2566814.3045865633</v>
      </c>
      <c r="E22" s="265"/>
      <c r="F22" s="271">
        <f t="shared" si="0"/>
        <v>2293.8465635268662</v>
      </c>
      <c r="G22" s="265">
        <f t="shared" si="4"/>
        <v>-1168.8868678120361</v>
      </c>
      <c r="H22" s="272">
        <f t="shared" si="1"/>
        <v>-1046387.5240653348</v>
      </c>
      <c r="I22" s="244"/>
      <c r="J22" s="236">
        <f t="shared" si="5"/>
        <v>3228.9560577764951</v>
      </c>
      <c r="K22" s="265">
        <f t="shared" si="2"/>
        <v>0</v>
      </c>
      <c r="L22" s="272">
        <f t="shared" si="6"/>
        <v>0</v>
      </c>
      <c r="M22" s="265"/>
      <c r="N22" s="274">
        <f>Données!S22</f>
        <v>98053.75</v>
      </c>
      <c r="O22" s="274">
        <f>Données!T22</f>
        <v>45305.5</v>
      </c>
      <c r="P22" s="274">
        <f>Données!U22</f>
        <v>86785.7</v>
      </c>
      <c r="Q22" s="249">
        <f>Données!V22</f>
        <v>39756.25</v>
      </c>
      <c r="R22" s="236">
        <f t="shared" si="3"/>
        <v>126999.35</v>
      </c>
      <c r="S22" s="253">
        <f t="shared" si="7"/>
        <v>-287219.85230090853</v>
      </c>
      <c r="T22" s="254">
        <f t="shared" si="8"/>
        <v>-160220.50230090853</v>
      </c>
    </row>
    <row r="23" spans="1:20" x14ac:dyDescent="0.25">
      <c r="A23" s="111">
        <f>Données!A23</f>
        <v>5422</v>
      </c>
      <c r="B23" s="123" t="str">
        <f>Données!B23</f>
        <v>Aubonne</v>
      </c>
      <c r="C23" s="252">
        <f>Données!C23</f>
        <v>3896</v>
      </c>
      <c r="D23" s="249">
        <f>RFS!W23</f>
        <v>28417924.592359886</v>
      </c>
      <c r="E23" s="265"/>
      <c r="F23" s="271">
        <f t="shared" si="0"/>
        <v>7294.1284887987385</v>
      </c>
      <c r="G23" s="265">
        <f t="shared" si="4"/>
        <v>3831.3950574598362</v>
      </c>
      <c r="H23" s="272">
        <f t="shared" si="1"/>
        <v>11941692.115090817</v>
      </c>
      <c r="I23" s="244"/>
      <c r="J23" s="236">
        <f t="shared" si="5"/>
        <v>4229.01244283087</v>
      </c>
      <c r="K23" s="265">
        <f t="shared" si="2"/>
        <v>0</v>
      </c>
      <c r="L23" s="272">
        <f t="shared" si="6"/>
        <v>0</v>
      </c>
      <c r="M23" s="265"/>
      <c r="N23" s="274">
        <f>Données!S23</f>
        <v>526742.1</v>
      </c>
      <c r="O23" s="274">
        <f>Données!T23</f>
        <v>562829.69999999995</v>
      </c>
      <c r="P23" s="274">
        <f>Données!U23</f>
        <v>528128.6</v>
      </c>
      <c r="Q23" s="249">
        <f>Données!V23</f>
        <v>944978.55</v>
      </c>
      <c r="R23" s="236">
        <f t="shared" si="3"/>
        <v>1092343.7649999999</v>
      </c>
      <c r="S23" s="253">
        <f t="shared" si="7"/>
        <v>-1000007.6358930649</v>
      </c>
      <c r="T23" s="254">
        <f t="shared" si="8"/>
        <v>92336.129106934997</v>
      </c>
    </row>
    <row r="24" spans="1:20" x14ac:dyDescent="0.25">
      <c r="A24" s="111">
        <f>Données!A24</f>
        <v>5423</v>
      </c>
      <c r="B24" s="123" t="str">
        <f>Données!B24</f>
        <v>Ballens</v>
      </c>
      <c r="C24" s="252">
        <f>Données!C24</f>
        <v>580</v>
      </c>
      <c r="D24" s="249">
        <f>RFS!W24</f>
        <v>1116608.8745162983</v>
      </c>
      <c r="E24" s="265"/>
      <c r="F24" s="271">
        <f t="shared" si="0"/>
        <v>1925.1877146832728</v>
      </c>
      <c r="G24" s="265">
        <f t="shared" si="4"/>
        <v>-1537.5457166556296</v>
      </c>
      <c r="H24" s="272">
        <f t="shared" si="1"/>
        <v>-713421.21252821211</v>
      </c>
      <c r="I24" s="244"/>
      <c r="J24" s="236">
        <f t="shared" si="5"/>
        <v>3155.224288007777</v>
      </c>
      <c r="K24" s="265">
        <f t="shared" si="2"/>
        <v>0</v>
      </c>
      <c r="L24" s="272">
        <f t="shared" si="6"/>
        <v>0</v>
      </c>
      <c r="M24" s="265"/>
      <c r="N24" s="274">
        <f>Données!S24</f>
        <v>72397</v>
      </c>
      <c r="O24" s="274">
        <f>Données!T24</f>
        <v>0</v>
      </c>
      <c r="P24" s="274">
        <f>Données!U24</f>
        <v>42955.9</v>
      </c>
      <c r="Q24" s="249">
        <f>Données!V24</f>
        <v>25512.2</v>
      </c>
      <c r="R24" s="236">
        <f t="shared" si="3"/>
        <v>65330.11</v>
      </c>
      <c r="S24" s="253">
        <f t="shared" si="7"/>
        <v>-148871.7733105692</v>
      </c>
      <c r="T24" s="254">
        <f t="shared" si="8"/>
        <v>-83541.663310569202</v>
      </c>
    </row>
    <row r="25" spans="1:20" x14ac:dyDescent="0.25">
      <c r="A25" s="111">
        <f>Données!A25</f>
        <v>5424</v>
      </c>
      <c r="B25" s="123" t="str">
        <f>Données!B25</f>
        <v>Berolle</v>
      </c>
      <c r="C25" s="252">
        <f>Données!C25</f>
        <v>300</v>
      </c>
      <c r="D25" s="249">
        <f>RFS!W25</f>
        <v>683674.70536239224</v>
      </c>
      <c r="E25" s="265"/>
      <c r="F25" s="271">
        <f t="shared" si="0"/>
        <v>2278.9156845413077</v>
      </c>
      <c r="G25" s="265">
        <f t="shared" si="4"/>
        <v>-1183.8177467975947</v>
      </c>
      <c r="H25" s="272">
        <f t="shared" si="1"/>
        <v>-284116.25923142274</v>
      </c>
      <c r="I25" s="244"/>
      <c r="J25" s="236">
        <f t="shared" si="5"/>
        <v>3225.969881979383</v>
      </c>
      <c r="K25" s="265">
        <f t="shared" si="2"/>
        <v>0</v>
      </c>
      <c r="L25" s="272">
        <f t="shared" si="6"/>
        <v>0</v>
      </c>
      <c r="M25" s="265"/>
      <c r="N25" s="274">
        <f>Données!S25</f>
        <v>12155</v>
      </c>
      <c r="O25" s="274">
        <f>Données!T25</f>
        <v>0</v>
      </c>
      <c r="P25" s="274">
        <f>Données!U25</f>
        <v>36729</v>
      </c>
      <c r="Q25" s="249">
        <f>Données!V25</f>
        <v>1089.6500000000001</v>
      </c>
      <c r="R25" s="236">
        <f t="shared" si="3"/>
        <v>24768.895</v>
      </c>
      <c r="S25" s="253">
        <f t="shared" si="7"/>
        <v>-77002.641367535805</v>
      </c>
      <c r="T25" s="254">
        <f t="shared" si="8"/>
        <v>-52233.746367535801</v>
      </c>
    </row>
    <row r="26" spans="1:20" x14ac:dyDescent="0.25">
      <c r="A26" s="111">
        <f>Données!A26</f>
        <v>5425</v>
      </c>
      <c r="B26" s="123" t="str">
        <f>Données!B26</f>
        <v>Bière</v>
      </c>
      <c r="C26" s="252">
        <f>Données!C26</f>
        <v>1701</v>
      </c>
      <c r="D26" s="249">
        <f>RFS!W26</f>
        <v>3001762.3837101287</v>
      </c>
      <c r="E26" s="265"/>
      <c r="F26" s="271">
        <f t="shared" si="0"/>
        <v>1764.7045171723273</v>
      </c>
      <c r="G26" s="265">
        <f t="shared" si="4"/>
        <v>-1698.0289141665751</v>
      </c>
      <c r="H26" s="272">
        <f t="shared" si="1"/>
        <v>-2310677.7463978757</v>
      </c>
      <c r="I26" s="244"/>
      <c r="J26" s="236">
        <f t="shared" si="5"/>
        <v>3123.1276485055873</v>
      </c>
      <c r="K26" s="265">
        <f t="shared" si="2"/>
        <v>0</v>
      </c>
      <c r="L26" s="272">
        <f t="shared" si="6"/>
        <v>0</v>
      </c>
      <c r="M26" s="265"/>
      <c r="N26" s="274">
        <f>Données!S26</f>
        <v>167754.4</v>
      </c>
      <c r="O26" s="274">
        <f>Données!T26</f>
        <v>7498.1</v>
      </c>
      <c r="P26" s="274">
        <f>Données!U26</f>
        <v>124489.4</v>
      </c>
      <c r="Q26" s="249">
        <f>Données!V26</f>
        <v>95457.9</v>
      </c>
      <c r="R26" s="236">
        <f t="shared" si="3"/>
        <v>178508.32</v>
      </c>
      <c r="S26" s="253">
        <f t="shared" si="7"/>
        <v>-436604.97655392799</v>
      </c>
      <c r="T26" s="254">
        <f t="shared" si="8"/>
        <v>-258096.65655392798</v>
      </c>
    </row>
    <row r="27" spans="1:20" x14ac:dyDescent="0.25">
      <c r="A27" s="111">
        <f>Données!A27</f>
        <v>5426</v>
      </c>
      <c r="B27" s="123" t="str">
        <f>Données!B27</f>
        <v>Bougy-Villars</v>
      </c>
      <c r="C27" s="252">
        <f>Données!C27</f>
        <v>493</v>
      </c>
      <c r="D27" s="249">
        <f>RFS!W27</f>
        <v>6240580.1398466676</v>
      </c>
      <c r="E27" s="265"/>
      <c r="F27" s="271">
        <f t="shared" si="0"/>
        <v>12658.377565611901</v>
      </c>
      <c r="G27" s="265">
        <f t="shared" si="4"/>
        <v>9195.6441342729995</v>
      </c>
      <c r="H27" s="272">
        <f t="shared" si="1"/>
        <v>3626762.0465572714</v>
      </c>
      <c r="I27" s="244"/>
      <c r="J27" s="236">
        <f t="shared" si="5"/>
        <v>5301.8622581935015</v>
      </c>
      <c r="K27" s="265">
        <f t="shared" si="2"/>
        <v>0</v>
      </c>
      <c r="L27" s="272">
        <f t="shared" si="6"/>
        <v>0</v>
      </c>
      <c r="M27" s="265"/>
      <c r="N27" s="274">
        <f>Données!S27</f>
        <v>161661</v>
      </c>
      <c r="O27" s="274">
        <f>Données!T27</f>
        <v>1821.4</v>
      </c>
      <c r="P27" s="274">
        <f>Données!U27</f>
        <v>69916.399999999994</v>
      </c>
      <c r="Q27" s="249">
        <f>Données!V27</f>
        <v>18111.75</v>
      </c>
      <c r="R27" s="236">
        <f t="shared" si="3"/>
        <v>122132.92499999999</v>
      </c>
      <c r="S27" s="253">
        <f t="shared" si="7"/>
        <v>-126541.00731398384</v>
      </c>
      <c r="T27" s="254">
        <f t="shared" si="8"/>
        <v>-4408.0823139838467</v>
      </c>
    </row>
    <row r="28" spans="1:20" x14ac:dyDescent="0.25">
      <c r="A28" s="111">
        <f>Données!A28</f>
        <v>5427</v>
      </c>
      <c r="B28" s="123" t="str">
        <f>Données!B28</f>
        <v>Féchy</v>
      </c>
      <c r="C28" s="252">
        <f>Données!C28</f>
        <v>906</v>
      </c>
      <c r="D28" s="249">
        <f>RFS!W28</f>
        <v>5499556.8198648272</v>
      </c>
      <c r="E28" s="265"/>
      <c r="F28" s="271">
        <f t="shared" si="0"/>
        <v>6070.1510153033414</v>
      </c>
      <c r="G28" s="265">
        <f t="shared" si="4"/>
        <v>2607.417583964439</v>
      </c>
      <c r="H28" s="272">
        <f t="shared" si="1"/>
        <v>1889856.2648574256</v>
      </c>
      <c r="I28" s="244"/>
      <c r="J28" s="236">
        <f t="shared" si="5"/>
        <v>3984.2169481317901</v>
      </c>
      <c r="K28" s="265">
        <f t="shared" si="2"/>
        <v>0</v>
      </c>
      <c r="L28" s="272">
        <f t="shared" si="6"/>
        <v>0</v>
      </c>
      <c r="M28" s="265"/>
      <c r="N28" s="274">
        <f>Données!S28</f>
        <v>222675.4</v>
      </c>
      <c r="O28" s="274">
        <f>Données!T28</f>
        <v>66500</v>
      </c>
      <c r="P28" s="274">
        <f>Données!U28</f>
        <v>82269.05</v>
      </c>
      <c r="Q28" s="249">
        <f>Données!V28</f>
        <v>16792.05</v>
      </c>
      <c r="R28" s="236">
        <f t="shared" si="3"/>
        <v>190759.84</v>
      </c>
      <c r="S28" s="253">
        <f t="shared" si="7"/>
        <v>-232547.97692995812</v>
      </c>
      <c r="T28" s="254">
        <f t="shared" si="8"/>
        <v>-41788.136929958127</v>
      </c>
    </row>
    <row r="29" spans="1:20" x14ac:dyDescent="0.25">
      <c r="A29" s="111">
        <f>Données!A29</f>
        <v>5428</v>
      </c>
      <c r="B29" s="123" t="str">
        <f>Données!B29</f>
        <v>Gimel</v>
      </c>
      <c r="C29" s="252">
        <f>Données!C29</f>
        <v>2453</v>
      </c>
      <c r="D29" s="249">
        <f>RFS!W29</f>
        <v>4924130.2485958524</v>
      </c>
      <c r="E29" s="265"/>
      <c r="F29" s="271">
        <f t="shared" si="0"/>
        <v>2007.3910512009181</v>
      </c>
      <c r="G29" s="265">
        <f t="shared" si="4"/>
        <v>-1455.3423801379843</v>
      </c>
      <c r="H29" s="272">
        <f t="shared" si="1"/>
        <v>-2855963.8867827808</v>
      </c>
      <c r="I29" s="244"/>
      <c r="J29" s="236">
        <f t="shared" si="5"/>
        <v>3171.6649553113057</v>
      </c>
      <c r="K29" s="265">
        <f t="shared" si="2"/>
        <v>0</v>
      </c>
      <c r="L29" s="272">
        <f t="shared" si="6"/>
        <v>0</v>
      </c>
      <c r="M29" s="265"/>
      <c r="N29" s="274">
        <f>Données!S29</f>
        <v>243600.7</v>
      </c>
      <c r="O29" s="274">
        <f>Données!T29</f>
        <v>455796.7</v>
      </c>
      <c r="P29" s="274">
        <f>Données!U29</f>
        <v>162103.6</v>
      </c>
      <c r="Q29" s="249">
        <f>Données!V29</f>
        <v>194209.05</v>
      </c>
      <c r="R29" s="236">
        <f t="shared" si="3"/>
        <v>489013.21499999997</v>
      </c>
      <c r="S29" s="253">
        <f t="shared" si="7"/>
        <v>-629624.93091521773</v>
      </c>
      <c r="T29" s="254">
        <f t="shared" si="8"/>
        <v>-140611.71591521776</v>
      </c>
    </row>
    <row r="30" spans="1:20" x14ac:dyDescent="0.25">
      <c r="A30" s="111">
        <f>Données!A30</f>
        <v>5429</v>
      </c>
      <c r="B30" s="123" t="str">
        <f>Données!B30</f>
        <v>Longirod</v>
      </c>
      <c r="C30" s="252">
        <f>Données!C30</f>
        <v>558</v>
      </c>
      <c r="D30" s="249">
        <f>RFS!W30</f>
        <v>1275103.2761864609</v>
      </c>
      <c r="E30" s="265"/>
      <c r="F30" s="271">
        <f t="shared" si="0"/>
        <v>2285.131319330575</v>
      </c>
      <c r="G30" s="265">
        <f t="shared" si="4"/>
        <v>-1177.6021120083274</v>
      </c>
      <c r="H30" s="272">
        <f t="shared" si="1"/>
        <v>-525681.58280051732</v>
      </c>
      <c r="I30" s="244"/>
      <c r="J30" s="236">
        <f t="shared" si="5"/>
        <v>3227.2130089372367</v>
      </c>
      <c r="K30" s="265">
        <f t="shared" si="2"/>
        <v>0</v>
      </c>
      <c r="L30" s="272">
        <f t="shared" si="6"/>
        <v>0</v>
      </c>
      <c r="M30" s="265"/>
      <c r="N30" s="274">
        <f>Données!S30</f>
        <v>83985</v>
      </c>
      <c r="O30" s="274">
        <f>Données!T30</f>
        <v>0</v>
      </c>
      <c r="P30" s="274">
        <f>Données!U30</f>
        <v>72499.850000000006</v>
      </c>
      <c r="Q30" s="249">
        <f>Données!V30</f>
        <v>12428.5</v>
      </c>
      <c r="R30" s="236">
        <f t="shared" si="3"/>
        <v>81970.975000000006</v>
      </c>
      <c r="S30" s="253">
        <f t="shared" si="7"/>
        <v>-143224.9129436166</v>
      </c>
      <c r="T30" s="254">
        <f t="shared" si="8"/>
        <v>-61253.937943616591</v>
      </c>
    </row>
    <row r="31" spans="1:20" x14ac:dyDescent="0.25">
      <c r="A31" s="111">
        <f>Données!A31</f>
        <v>5430</v>
      </c>
      <c r="B31" s="123" t="str">
        <f>Données!B31</f>
        <v>Marchissy</v>
      </c>
      <c r="C31" s="252">
        <f>Données!C31</f>
        <v>492</v>
      </c>
      <c r="D31" s="249">
        <f>RFS!W31</f>
        <v>1190256.7622026226</v>
      </c>
      <c r="E31" s="265"/>
      <c r="F31" s="271">
        <f t="shared" si="0"/>
        <v>2419.2210613874445</v>
      </c>
      <c r="G31" s="265">
        <f t="shared" si="4"/>
        <v>-1043.5123699514579</v>
      </c>
      <c r="H31" s="272">
        <f t="shared" si="1"/>
        <v>-410726.46881289384</v>
      </c>
      <c r="I31" s="244"/>
      <c r="J31" s="236">
        <f t="shared" si="5"/>
        <v>3254.0309573486106</v>
      </c>
      <c r="K31" s="265">
        <f t="shared" si="2"/>
        <v>0</v>
      </c>
      <c r="L31" s="272">
        <f t="shared" si="6"/>
        <v>0</v>
      </c>
      <c r="M31" s="265"/>
      <c r="N31" s="274">
        <f>Données!S31</f>
        <v>18900.150000000001</v>
      </c>
      <c r="O31" s="274">
        <f>Données!T31</f>
        <v>0</v>
      </c>
      <c r="P31" s="274">
        <f>Données!U31</f>
        <v>28414.5</v>
      </c>
      <c r="Q31" s="249">
        <f>Données!V31</f>
        <v>13140.85</v>
      </c>
      <c r="R31" s="236">
        <f t="shared" si="3"/>
        <v>27599.58</v>
      </c>
      <c r="S31" s="253">
        <f t="shared" si="7"/>
        <v>-126284.33184275871</v>
      </c>
      <c r="T31" s="254">
        <f t="shared" si="8"/>
        <v>-98684.751842758706</v>
      </c>
    </row>
    <row r="32" spans="1:20" x14ac:dyDescent="0.25">
      <c r="A32" s="111">
        <f>Données!A32</f>
        <v>5431</v>
      </c>
      <c r="B32" s="123" t="str">
        <f>Données!B32</f>
        <v>Mollens</v>
      </c>
      <c r="C32" s="252">
        <f>Données!C32</f>
        <v>320</v>
      </c>
      <c r="D32" s="249">
        <f>RFS!W32</f>
        <v>980658.63885518291</v>
      </c>
      <c r="E32" s="265"/>
      <c r="F32" s="271">
        <f t="shared" si="0"/>
        <v>3064.5582464224467</v>
      </c>
      <c r="G32" s="265">
        <f t="shared" si="4"/>
        <v>-398.17518491645569</v>
      </c>
      <c r="H32" s="272">
        <f t="shared" si="1"/>
        <v>-101932.84733861266</v>
      </c>
      <c r="I32" s="244"/>
      <c r="J32" s="236">
        <f t="shared" si="5"/>
        <v>3383.0983943556116</v>
      </c>
      <c r="K32" s="265">
        <f t="shared" si="2"/>
        <v>0</v>
      </c>
      <c r="L32" s="272">
        <f t="shared" si="6"/>
        <v>0</v>
      </c>
      <c r="M32" s="265"/>
      <c r="N32" s="274">
        <f>Données!S32</f>
        <v>36400.949999999997</v>
      </c>
      <c r="O32" s="274">
        <f>Données!T32</f>
        <v>0</v>
      </c>
      <c r="P32" s="274">
        <f>Données!U32</f>
        <v>28952.35</v>
      </c>
      <c r="Q32" s="249">
        <f>Données!V32</f>
        <v>723.65</v>
      </c>
      <c r="R32" s="236">
        <f t="shared" si="3"/>
        <v>32893.744999999995</v>
      </c>
      <c r="S32" s="253">
        <f t="shared" si="7"/>
        <v>-82136.150792038185</v>
      </c>
      <c r="T32" s="254">
        <f t="shared" si="8"/>
        <v>-49242.405792038189</v>
      </c>
    </row>
    <row r="33" spans="1:20" x14ac:dyDescent="0.25">
      <c r="A33" s="111">
        <f>Données!A33</f>
        <v>5434</v>
      </c>
      <c r="B33" s="123" t="str">
        <f>Données!B33</f>
        <v>Saint-George</v>
      </c>
      <c r="C33" s="252">
        <f>Données!C33</f>
        <v>1082</v>
      </c>
      <c r="D33" s="249">
        <f>RFS!W33</f>
        <v>3982695.9165056157</v>
      </c>
      <c r="E33" s="265"/>
      <c r="F33" s="271">
        <f t="shared" si="0"/>
        <v>3680.8649875282954</v>
      </c>
      <c r="G33" s="265">
        <f t="shared" si="4"/>
        <v>218.131556189393</v>
      </c>
      <c r="H33" s="272">
        <f t="shared" si="1"/>
        <v>188814.6750375386</v>
      </c>
      <c r="I33" s="244"/>
      <c r="J33" s="236">
        <f t="shared" si="5"/>
        <v>3506.3597425767812</v>
      </c>
      <c r="K33" s="265">
        <f t="shared" si="2"/>
        <v>0</v>
      </c>
      <c r="L33" s="272">
        <f t="shared" si="6"/>
        <v>0</v>
      </c>
      <c r="M33" s="265"/>
      <c r="N33" s="274">
        <f>Données!S33</f>
        <v>101871</v>
      </c>
      <c r="O33" s="274">
        <f>Données!T33</f>
        <v>2037.2</v>
      </c>
      <c r="P33" s="274">
        <f>Données!U33</f>
        <v>127354.45</v>
      </c>
      <c r="Q33" s="249">
        <f>Données!V33</f>
        <v>9697.25</v>
      </c>
      <c r="R33" s="236">
        <f t="shared" si="3"/>
        <v>118540.5</v>
      </c>
      <c r="S33" s="253">
        <f t="shared" si="7"/>
        <v>-277722.85986557911</v>
      </c>
      <c r="T33" s="254">
        <f t="shared" si="8"/>
        <v>-159182.35986557911</v>
      </c>
    </row>
    <row r="34" spans="1:20" x14ac:dyDescent="0.25">
      <c r="A34" s="111">
        <f>Données!A34</f>
        <v>5435</v>
      </c>
      <c r="B34" s="123" t="str">
        <f>Données!B34</f>
        <v>Saint-Livres</v>
      </c>
      <c r="C34" s="252">
        <f>Données!C34</f>
        <v>708</v>
      </c>
      <c r="D34" s="249">
        <f>RFS!W34</f>
        <v>1642060.582541541</v>
      </c>
      <c r="E34" s="265"/>
      <c r="F34" s="271">
        <f t="shared" si="0"/>
        <v>2319.2946081095211</v>
      </c>
      <c r="G34" s="265">
        <f t="shared" si="4"/>
        <v>-1143.4388232293813</v>
      </c>
      <c r="H34" s="272">
        <f t="shared" si="1"/>
        <v>-647643.74947712163</v>
      </c>
      <c r="I34" s="244"/>
      <c r="J34" s="236">
        <f t="shared" si="5"/>
        <v>3234.0456666930263</v>
      </c>
      <c r="K34" s="265">
        <f t="shared" si="2"/>
        <v>0</v>
      </c>
      <c r="L34" s="272">
        <f t="shared" si="6"/>
        <v>0</v>
      </c>
      <c r="M34" s="265"/>
      <c r="N34" s="274">
        <f>Données!S34</f>
        <v>25772.9</v>
      </c>
      <c r="O34" s="274">
        <f>Données!T34</f>
        <v>0</v>
      </c>
      <c r="P34" s="274">
        <f>Données!U34</f>
        <v>53579.75</v>
      </c>
      <c r="Q34" s="249">
        <f>Données!V34</f>
        <v>3060.15</v>
      </c>
      <c r="R34" s="236">
        <f t="shared" si="3"/>
        <v>40594.369999999995</v>
      </c>
      <c r="S34" s="253">
        <f t="shared" si="7"/>
        <v>-181726.2336273845</v>
      </c>
      <c r="T34" s="254">
        <f t="shared" si="8"/>
        <v>-141131.8636273845</v>
      </c>
    </row>
    <row r="35" spans="1:20" x14ac:dyDescent="0.25">
      <c r="A35" s="111">
        <f>Données!A35</f>
        <v>5436</v>
      </c>
      <c r="B35" s="123" t="str">
        <f>Données!B35</f>
        <v>Saint-Oyens</v>
      </c>
      <c r="C35" s="252">
        <f>Données!C35</f>
        <v>449</v>
      </c>
      <c r="D35" s="249">
        <f>RFS!W35</f>
        <v>1320203.2271723282</v>
      </c>
      <c r="E35" s="265"/>
      <c r="F35" s="271">
        <f t="shared" si="0"/>
        <v>2940.3189914751183</v>
      </c>
      <c r="G35" s="265">
        <f t="shared" si="4"/>
        <v>-522.41443986378408</v>
      </c>
      <c r="H35" s="272">
        <f t="shared" si="1"/>
        <v>-187651.26679907125</v>
      </c>
      <c r="I35" s="244"/>
      <c r="J35" s="236">
        <f t="shared" si="5"/>
        <v>3358.2505433661458</v>
      </c>
      <c r="K35" s="265">
        <f t="shared" si="2"/>
        <v>0</v>
      </c>
      <c r="L35" s="272">
        <f t="shared" si="6"/>
        <v>0</v>
      </c>
      <c r="M35" s="265"/>
      <c r="N35" s="274">
        <f>Données!S35</f>
        <v>97118.25</v>
      </c>
      <c r="O35" s="274">
        <f>Données!T35</f>
        <v>0</v>
      </c>
      <c r="P35" s="274">
        <f>Données!U35</f>
        <v>102371</v>
      </c>
      <c r="Q35" s="249">
        <f>Données!V35</f>
        <v>0</v>
      </c>
      <c r="R35" s="236">
        <f t="shared" si="3"/>
        <v>99744.625</v>
      </c>
      <c r="S35" s="253">
        <f t="shared" si="7"/>
        <v>-115247.28658007858</v>
      </c>
      <c r="T35" s="254">
        <f t="shared" si="8"/>
        <v>-15502.66158007858</v>
      </c>
    </row>
    <row r="36" spans="1:20" x14ac:dyDescent="0.25">
      <c r="A36" s="111">
        <f>Données!A36</f>
        <v>5437</v>
      </c>
      <c r="B36" s="123" t="str">
        <f>Données!B36</f>
        <v>Saubraz</v>
      </c>
      <c r="C36" s="252">
        <f>Données!C36</f>
        <v>441</v>
      </c>
      <c r="D36" s="249">
        <f>RFS!W36</f>
        <v>1022322.7639855938</v>
      </c>
      <c r="E36" s="265"/>
      <c r="F36" s="271">
        <f t="shared" si="0"/>
        <v>2318.1922085841129</v>
      </c>
      <c r="G36" s="265">
        <f t="shared" si="4"/>
        <v>-1144.5412227547895</v>
      </c>
      <c r="H36" s="272">
        <f t="shared" si="1"/>
        <v>-403794.14338788972</v>
      </c>
      <c r="I36" s="244"/>
      <c r="J36" s="236">
        <f t="shared" si="5"/>
        <v>3233.8251867879444</v>
      </c>
      <c r="K36" s="265">
        <f t="shared" si="2"/>
        <v>0</v>
      </c>
      <c r="L36" s="272">
        <f t="shared" si="6"/>
        <v>0</v>
      </c>
      <c r="M36" s="265"/>
      <c r="N36" s="274">
        <f>Données!S36</f>
        <v>78274.3</v>
      </c>
      <c r="O36" s="274">
        <f>Données!T36</f>
        <v>0</v>
      </c>
      <c r="P36" s="274">
        <f>Données!U36</f>
        <v>43974.45</v>
      </c>
      <c r="Q36" s="249">
        <f>Données!V36</f>
        <v>0</v>
      </c>
      <c r="R36" s="236">
        <f t="shared" si="3"/>
        <v>61124.375</v>
      </c>
      <c r="S36" s="253">
        <f t="shared" si="7"/>
        <v>-113193.88281027763</v>
      </c>
      <c r="T36" s="254">
        <f t="shared" si="8"/>
        <v>-52069.507810277632</v>
      </c>
    </row>
    <row r="37" spans="1:20" x14ac:dyDescent="0.25">
      <c r="A37" s="111">
        <f>Données!A37</f>
        <v>5451</v>
      </c>
      <c r="B37" s="123" t="str">
        <f>Données!B37</f>
        <v>Avenches</v>
      </c>
      <c r="C37" s="252">
        <f>Données!C37</f>
        <v>4953</v>
      </c>
      <c r="D37" s="249">
        <f>RFS!W37</f>
        <v>9481228.5745047014</v>
      </c>
      <c r="E37" s="265"/>
      <c r="F37" s="271">
        <f t="shared" si="0"/>
        <v>1914.2395668291342</v>
      </c>
      <c r="G37" s="265">
        <f t="shared" si="4"/>
        <v>-1548.4938645097682</v>
      </c>
      <c r="H37" s="272">
        <f t="shared" si="1"/>
        <v>-6135752.0887335055</v>
      </c>
      <c r="I37" s="244"/>
      <c r="J37" s="236">
        <f t="shared" si="5"/>
        <v>3153.0346584369486</v>
      </c>
      <c r="K37" s="265">
        <f t="shared" si="2"/>
        <v>0</v>
      </c>
      <c r="L37" s="272">
        <f t="shared" si="6"/>
        <v>0</v>
      </c>
      <c r="M37" s="265"/>
      <c r="N37" s="274">
        <f>Données!S37</f>
        <v>446524.9</v>
      </c>
      <c r="O37" s="274">
        <f>Données!T37</f>
        <v>94100.6</v>
      </c>
      <c r="P37" s="274">
        <f>Données!U37</f>
        <v>163163.95000000001</v>
      </c>
      <c r="Q37" s="249">
        <f>Données!V37</f>
        <v>573118.55000000005</v>
      </c>
      <c r="R37" s="236">
        <f t="shared" si="3"/>
        <v>523830.29</v>
      </c>
      <c r="S37" s="253">
        <f t="shared" si="7"/>
        <v>-1271313.6089780161</v>
      </c>
      <c r="T37" s="254">
        <f t="shared" si="8"/>
        <v>-747483.31897801603</v>
      </c>
    </row>
    <row r="38" spans="1:20" x14ac:dyDescent="0.25">
      <c r="A38" s="111">
        <f>Données!A38</f>
        <v>5456</v>
      </c>
      <c r="B38" s="123" t="str">
        <f>Données!B38</f>
        <v>Cudrefin</v>
      </c>
      <c r="C38" s="252">
        <f>Données!C38</f>
        <v>1915</v>
      </c>
      <c r="D38" s="249">
        <f>RFS!W38</f>
        <v>4715065.0611463953</v>
      </c>
      <c r="E38" s="265"/>
      <c r="F38" s="271">
        <f t="shared" si="0"/>
        <v>2462.1749666560809</v>
      </c>
      <c r="G38" s="265">
        <f t="shared" si="4"/>
        <v>-1000.5584646828215</v>
      </c>
      <c r="H38" s="272">
        <f t="shared" si="1"/>
        <v>-1532855.5678940825</v>
      </c>
      <c r="I38" s="244"/>
      <c r="J38" s="236">
        <f t="shared" si="5"/>
        <v>3262.6217384023385</v>
      </c>
      <c r="K38" s="265">
        <f t="shared" si="2"/>
        <v>0</v>
      </c>
      <c r="L38" s="272">
        <f t="shared" si="6"/>
        <v>0</v>
      </c>
      <c r="M38" s="265"/>
      <c r="N38" s="274">
        <f>Données!S38</f>
        <v>208166</v>
      </c>
      <c r="O38" s="274">
        <f>Données!T38</f>
        <v>37220.9</v>
      </c>
      <c r="P38" s="274">
        <f>Données!U38</f>
        <v>224374.6</v>
      </c>
      <c r="Q38" s="249">
        <f>Données!V38</f>
        <v>1398</v>
      </c>
      <c r="R38" s="236">
        <f t="shared" si="3"/>
        <v>235300.15</v>
      </c>
      <c r="S38" s="253">
        <f t="shared" si="7"/>
        <v>-491533.52739610354</v>
      </c>
      <c r="T38" s="254">
        <f t="shared" si="8"/>
        <v>-256233.37739610355</v>
      </c>
    </row>
    <row r="39" spans="1:20" x14ac:dyDescent="0.25">
      <c r="A39" s="111">
        <f>Données!A39</f>
        <v>5458</v>
      </c>
      <c r="B39" s="123" t="str">
        <f>Données!B39</f>
        <v>Faoug</v>
      </c>
      <c r="C39" s="252">
        <f>Données!C39</f>
        <v>902</v>
      </c>
      <c r="D39" s="249">
        <f>RFS!W39</f>
        <v>2128001.5576259918</v>
      </c>
      <c r="E39" s="265"/>
      <c r="F39" s="271">
        <f t="shared" si="0"/>
        <v>2359.2035006940041</v>
      </c>
      <c r="G39" s="265">
        <f t="shared" si="4"/>
        <v>-1103.5299306448983</v>
      </c>
      <c r="H39" s="272">
        <f t="shared" si="1"/>
        <v>-796307.19795335864</v>
      </c>
      <c r="I39" s="244"/>
      <c r="J39" s="236">
        <f t="shared" si="5"/>
        <v>3242.0274452099229</v>
      </c>
      <c r="K39" s="265">
        <f t="shared" si="2"/>
        <v>0</v>
      </c>
      <c r="L39" s="272">
        <f t="shared" si="6"/>
        <v>0</v>
      </c>
      <c r="M39" s="265"/>
      <c r="N39" s="274">
        <f>Données!S39</f>
        <v>80096.5</v>
      </c>
      <c r="O39" s="274">
        <f>Données!T39</f>
        <v>80255.399999999994</v>
      </c>
      <c r="P39" s="274">
        <f>Données!U39</f>
        <v>68490.7</v>
      </c>
      <c r="Q39" s="249">
        <f>Données!V39</f>
        <v>2522.9</v>
      </c>
      <c r="R39" s="236">
        <f t="shared" si="3"/>
        <v>115178.16999999998</v>
      </c>
      <c r="S39" s="253">
        <f t="shared" si="7"/>
        <v>-231521.27504505764</v>
      </c>
      <c r="T39" s="254">
        <f t="shared" si="8"/>
        <v>-116343.10504505766</v>
      </c>
    </row>
    <row r="40" spans="1:20" x14ac:dyDescent="0.25">
      <c r="A40" s="111">
        <f>Données!A40</f>
        <v>5464</v>
      </c>
      <c r="B40" s="123" t="str">
        <f>Données!B40</f>
        <v>Vully-les-Lacs</v>
      </c>
      <c r="C40" s="252">
        <f>Données!C40</f>
        <v>3698</v>
      </c>
      <c r="D40" s="249">
        <f>RFS!W40</f>
        <v>8648940.623183025</v>
      </c>
      <c r="E40" s="265"/>
      <c r="F40" s="271">
        <f t="shared" si="0"/>
        <v>2338.815744505956</v>
      </c>
      <c r="G40" s="265">
        <f t="shared" si="4"/>
        <v>-1123.9176868329464</v>
      </c>
      <c r="H40" s="272">
        <f t="shared" si="1"/>
        <v>-3324998.0847265888</v>
      </c>
      <c r="I40" s="244"/>
      <c r="J40" s="236">
        <f t="shared" si="5"/>
        <v>3237.949893972313</v>
      </c>
      <c r="K40" s="265">
        <f t="shared" si="2"/>
        <v>0</v>
      </c>
      <c r="L40" s="272">
        <f t="shared" si="6"/>
        <v>0</v>
      </c>
      <c r="M40" s="265"/>
      <c r="N40" s="274">
        <f>Données!S40</f>
        <v>349607.7</v>
      </c>
      <c r="O40" s="274">
        <f>Données!T40</f>
        <v>309947.90000000002</v>
      </c>
      <c r="P40" s="274">
        <f>Données!U40</f>
        <v>203242.4</v>
      </c>
      <c r="Q40" s="249">
        <f>Données!V40</f>
        <v>3970.3</v>
      </c>
      <c r="R40" s="236">
        <f t="shared" si="3"/>
        <v>432590.09000000008</v>
      </c>
      <c r="S40" s="253">
        <f t="shared" si="7"/>
        <v>-949185.89259049133</v>
      </c>
      <c r="T40" s="254">
        <f t="shared" si="8"/>
        <v>-516595.80259049125</v>
      </c>
    </row>
    <row r="41" spans="1:20" x14ac:dyDescent="0.25">
      <c r="A41" s="111">
        <f>Données!A41</f>
        <v>5471</v>
      </c>
      <c r="B41" s="123" t="str">
        <f>Données!B41</f>
        <v>Bettens</v>
      </c>
      <c r="C41" s="252">
        <f>Données!C41</f>
        <v>652</v>
      </c>
      <c r="D41" s="249">
        <f>RFS!W41</f>
        <v>1725952.128345869</v>
      </c>
      <c r="E41" s="265"/>
      <c r="F41" s="271">
        <f t="shared" si="0"/>
        <v>2647.1658410212717</v>
      </c>
      <c r="G41" s="265">
        <f t="shared" si="4"/>
        <v>-815.56759031763067</v>
      </c>
      <c r="H41" s="272">
        <f t="shared" si="1"/>
        <v>-425400.05510967621</v>
      </c>
      <c r="I41" s="244"/>
      <c r="J41" s="236">
        <f t="shared" si="5"/>
        <v>3299.6199132753763</v>
      </c>
      <c r="K41" s="265">
        <f t="shared" si="2"/>
        <v>0</v>
      </c>
      <c r="L41" s="272">
        <f t="shared" si="6"/>
        <v>0</v>
      </c>
      <c r="M41" s="265"/>
      <c r="N41" s="274">
        <f>Données!S41</f>
        <v>68673</v>
      </c>
      <c r="O41" s="274">
        <f>Données!T41</f>
        <v>0</v>
      </c>
      <c r="P41" s="274">
        <f>Données!U41</f>
        <v>43356</v>
      </c>
      <c r="Q41" s="249">
        <f>Données!V41</f>
        <v>16883.150000000001</v>
      </c>
      <c r="R41" s="236">
        <f t="shared" si="3"/>
        <v>61079.445</v>
      </c>
      <c r="S41" s="253">
        <f t="shared" si="7"/>
        <v>-167352.40723877781</v>
      </c>
      <c r="T41" s="254">
        <f t="shared" si="8"/>
        <v>-106272.96223877781</v>
      </c>
    </row>
    <row r="42" spans="1:20" x14ac:dyDescent="0.25">
      <c r="A42" s="111">
        <f>Données!A42</f>
        <v>5472</v>
      </c>
      <c r="B42" s="123" t="str">
        <f>Données!B42</f>
        <v>Bournens</v>
      </c>
      <c r="C42" s="252">
        <f>Données!C42</f>
        <v>612</v>
      </c>
      <c r="D42" s="249">
        <f>RFS!W42</f>
        <v>1595232.8239869494</v>
      </c>
      <c r="E42" s="265"/>
      <c r="F42" s="271">
        <f t="shared" si="0"/>
        <v>2606.5895816780221</v>
      </c>
      <c r="G42" s="265">
        <f t="shared" si="4"/>
        <v>-856.14384966088028</v>
      </c>
      <c r="H42" s="272">
        <f t="shared" si="1"/>
        <v>-419168.02879396704</v>
      </c>
      <c r="I42" s="244"/>
      <c r="J42" s="236">
        <f t="shared" si="5"/>
        <v>3291.5046614067264</v>
      </c>
      <c r="K42" s="265">
        <f t="shared" si="2"/>
        <v>0</v>
      </c>
      <c r="L42" s="272">
        <f t="shared" si="6"/>
        <v>0</v>
      </c>
      <c r="M42" s="265"/>
      <c r="N42" s="274">
        <f>Données!S42</f>
        <v>371787.65</v>
      </c>
      <c r="O42" s="274">
        <f>Données!T42</f>
        <v>0</v>
      </c>
      <c r="P42" s="274">
        <f>Données!U42</f>
        <v>22654.25</v>
      </c>
      <c r="Q42" s="249">
        <f>Données!V42</f>
        <v>0</v>
      </c>
      <c r="R42" s="236">
        <f t="shared" si="3"/>
        <v>197220.95</v>
      </c>
      <c r="S42" s="253">
        <f t="shared" si="7"/>
        <v>-157085.38838977303</v>
      </c>
      <c r="T42" s="254">
        <f t="shared" si="8"/>
        <v>40135.561610226985</v>
      </c>
    </row>
    <row r="43" spans="1:20" x14ac:dyDescent="0.25">
      <c r="A43" s="111">
        <f>Données!A43</f>
        <v>5473</v>
      </c>
      <c r="B43" s="123" t="str">
        <f>Données!B43</f>
        <v>Boussens</v>
      </c>
      <c r="C43" s="252">
        <f>Données!C43</f>
        <v>1016</v>
      </c>
      <c r="D43" s="249">
        <f>RFS!W43</f>
        <v>2504299.1600719453</v>
      </c>
      <c r="E43" s="265"/>
      <c r="F43" s="271">
        <f t="shared" si="0"/>
        <v>2464.8613780235682</v>
      </c>
      <c r="G43" s="265">
        <f t="shared" si="4"/>
        <v>-997.87205331533414</v>
      </c>
      <c r="H43" s="272">
        <f t="shared" si="1"/>
        <v>-811070.40493470361</v>
      </c>
      <c r="I43" s="244"/>
      <c r="J43" s="236">
        <f t="shared" si="5"/>
        <v>3263.1590206758356</v>
      </c>
      <c r="K43" s="265">
        <f t="shared" si="2"/>
        <v>0</v>
      </c>
      <c r="L43" s="272">
        <f t="shared" si="6"/>
        <v>0</v>
      </c>
      <c r="M43" s="265"/>
      <c r="N43" s="274">
        <f>Données!S43</f>
        <v>186710</v>
      </c>
      <c r="O43" s="274">
        <f>Données!T43</f>
        <v>0</v>
      </c>
      <c r="P43" s="274">
        <f>Données!U43</f>
        <v>77732.100000000006</v>
      </c>
      <c r="Q43" s="249">
        <f>Données!V43</f>
        <v>18736.3</v>
      </c>
      <c r="R43" s="236">
        <f t="shared" si="3"/>
        <v>137841.94</v>
      </c>
      <c r="S43" s="253">
        <f t="shared" si="7"/>
        <v>-260782.27876472124</v>
      </c>
      <c r="T43" s="254">
        <f t="shared" si="8"/>
        <v>-122940.33876472124</v>
      </c>
    </row>
    <row r="44" spans="1:20" x14ac:dyDescent="0.25">
      <c r="A44" s="111">
        <f>Données!A44</f>
        <v>5474</v>
      </c>
      <c r="B44" s="123" t="str">
        <f>Données!B44</f>
        <v>La Chaux (Cossonay)</v>
      </c>
      <c r="C44" s="252">
        <f>Données!C44</f>
        <v>421</v>
      </c>
      <c r="D44" s="249">
        <f>RFS!W44</f>
        <v>909532.67910606565</v>
      </c>
      <c r="E44" s="265"/>
      <c r="F44" s="271">
        <f t="shared" si="0"/>
        <v>2160.4101641474244</v>
      </c>
      <c r="G44" s="265">
        <f t="shared" si="4"/>
        <v>-1302.323267191478</v>
      </c>
      <c r="H44" s="272">
        <f t="shared" si="1"/>
        <v>-438622.47639008984</v>
      </c>
      <c r="I44" s="244"/>
      <c r="J44" s="236">
        <f t="shared" si="5"/>
        <v>3202.2687779006064</v>
      </c>
      <c r="K44" s="265">
        <f t="shared" si="2"/>
        <v>0</v>
      </c>
      <c r="L44" s="272">
        <f t="shared" si="6"/>
        <v>0</v>
      </c>
      <c r="M44" s="265"/>
      <c r="N44" s="274">
        <f>Données!S44</f>
        <v>25433.7</v>
      </c>
      <c r="O44" s="274">
        <f>Données!T44</f>
        <v>0</v>
      </c>
      <c r="P44" s="274">
        <f>Données!U44</f>
        <v>19266.650000000001</v>
      </c>
      <c r="Q44" s="249">
        <f>Données!V44</f>
        <v>5815.6</v>
      </c>
      <c r="R44" s="236">
        <f t="shared" si="3"/>
        <v>24094.855000000003</v>
      </c>
      <c r="S44" s="253">
        <f t="shared" si="7"/>
        <v>-108060.37338577524</v>
      </c>
      <c r="T44" s="254">
        <f t="shared" si="8"/>
        <v>-83965.518385775242</v>
      </c>
    </row>
    <row r="45" spans="1:20" x14ac:dyDescent="0.25">
      <c r="A45" s="111">
        <f>Données!A45</f>
        <v>5475</v>
      </c>
      <c r="B45" s="123" t="str">
        <f>Données!B45</f>
        <v>Chavannes-le-Veyron</v>
      </c>
      <c r="C45" s="252">
        <f>Données!C45</f>
        <v>160</v>
      </c>
      <c r="D45" s="249">
        <f>RFS!W45</f>
        <v>328386.62880380178</v>
      </c>
      <c r="E45" s="265"/>
      <c r="F45" s="271">
        <f t="shared" si="0"/>
        <v>2052.4164300237612</v>
      </c>
      <c r="G45" s="265">
        <f t="shared" si="4"/>
        <v>-1410.3170013151412</v>
      </c>
      <c r="H45" s="272">
        <f t="shared" si="1"/>
        <v>-180520.57616833807</v>
      </c>
      <c r="I45" s="244"/>
      <c r="J45" s="236">
        <f t="shared" si="5"/>
        <v>3180.6700310758742</v>
      </c>
      <c r="K45" s="265">
        <f t="shared" si="2"/>
        <v>0</v>
      </c>
      <c r="L45" s="272">
        <f t="shared" si="6"/>
        <v>0</v>
      </c>
      <c r="M45" s="265"/>
      <c r="N45" s="274">
        <f>Données!S45</f>
        <v>0</v>
      </c>
      <c r="O45" s="274">
        <f>Données!T45</f>
        <v>0</v>
      </c>
      <c r="P45" s="274">
        <f>Données!U45</f>
        <v>0</v>
      </c>
      <c r="Q45" s="249">
        <f>Données!V45</f>
        <v>1301.75</v>
      </c>
      <c r="R45" s="236">
        <f t="shared" si="3"/>
        <v>390.52499999999998</v>
      </c>
      <c r="S45" s="253">
        <f t="shared" si="7"/>
        <v>-41068.075396019092</v>
      </c>
      <c r="T45" s="254">
        <f t="shared" si="8"/>
        <v>-40677.550396019091</v>
      </c>
    </row>
    <row r="46" spans="1:20" x14ac:dyDescent="0.25">
      <c r="A46" s="111">
        <f>Données!A46</f>
        <v>5476</v>
      </c>
      <c r="B46" s="123" t="str">
        <f>Données!B46</f>
        <v>Chevilly</v>
      </c>
      <c r="C46" s="252">
        <f>Données!C46</f>
        <v>345</v>
      </c>
      <c r="D46" s="249">
        <f>RFS!W46</f>
        <v>777961.42207121721</v>
      </c>
      <c r="E46" s="265"/>
      <c r="F46" s="271">
        <f t="shared" si="0"/>
        <v>2254.9606436846875</v>
      </c>
      <c r="G46" s="265">
        <f t="shared" si="4"/>
        <v>-1207.7727876542149</v>
      </c>
      <c r="H46" s="272">
        <f t="shared" si="1"/>
        <v>-333345.28939256334</v>
      </c>
      <c r="I46" s="244"/>
      <c r="J46" s="236">
        <f t="shared" si="5"/>
        <v>3221.1788738080595</v>
      </c>
      <c r="K46" s="265">
        <f t="shared" si="2"/>
        <v>0</v>
      </c>
      <c r="L46" s="272">
        <f t="shared" si="6"/>
        <v>0</v>
      </c>
      <c r="M46" s="265"/>
      <c r="N46" s="274">
        <f>Données!S46</f>
        <v>154348.6</v>
      </c>
      <c r="O46" s="274">
        <f>Données!T46</f>
        <v>0</v>
      </c>
      <c r="P46" s="274">
        <f>Données!U46</f>
        <v>14813</v>
      </c>
      <c r="Q46" s="249">
        <f>Données!V46</f>
        <v>0</v>
      </c>
      <c r="R46" s="236">
        <f t="shared" si="3"/>
        <v>84580.800000000003</v>
      </c>
      <c r="S46" s="253">
        <f t="shared" si="7"/>
        <v>-88553.037572666173</v>
      </c>
      <c r="T46" s="254">
        <f t="shared" si="8"/>
        <v>-3972.2375726661703</v>
      </c>
    </row>
    <row r="47" spans="1:20" x14ac:dyDescent="0.25">
      <c r="A47" s="111">
        <f>Données!A47</f>
        <v>5477</v>
      </c>
      <c r="B47" s="123" t="str">
        <f>Données!B47</f>
        <v>Cossonay</v>
      </c>
      <c r="C47" s="252">
        <f>Données!C47</f>
        <v>4974</v>
      </c>
      <c r="D47" s="249">
        <f>RFS!W47</f>
        <v>10216512.624062974</v>
      </c>
      <c r="E47" s="265"/>
      <c r="F47" s="271">
        <f t="shared" si="0"/>
        <v>2053.9832376483664</v>
      </c>
      <c r="G47" s="265">
        <f t="shared" si="4"/>
        <v>-1408.750193690536</v>
      </c>
      <c r="H47" s="272">
        <f t="shared" si="1"/>
        <v>-5605698.7707333807</v>
      </c>
      <c r="I47" s="244"/>
      <c r="J47" s="236">
        <f t="shared" si="5"/>
        <v>3180.983392600795</v>
      </c>
      <c r="K47" s="265">
        <f t="shared" si="2"/>
        <v>0</v>
      </c>
      <c r="L47" s="272">
        <f t="shared" si="6"/>
        <v>0</v>
      </c>
      <c r="M47" s="265"/>
      <c r="N47" s="274">
        <f>Données!S47</f>
        <v>372637.3</v>
      </c>
      <c r="O47" s="274">
        <f>Données!T47</f>
        <v>13256</v>
      </c>
      <c r="P47" s="274">
        <f>Données!U47</f>
        <v>1040239.25</v>
      </c>
      <c r="Q47" s="249">
        <f>Données!V47</f>
        <v>212360.5</v>
      </c>
      <c r="R47" s="236">
        <f t="shared" si="3"/>
        <v>776774.42500000005</v>
      </c>
      <c r="S47" s="253">
        <f t="shared" si="7"/>
        <v>-1276703.7938737436</v>
      </c>
      <c r="T47" s="254">
        <f t="shared" si="8"/>
        <v>-499929.36887374357</v>
      </c>
    </row>
    <row r="48" spans="1:20" x14ac:dyDescent="0.25">
      <c r="A48" s="111">
        <f>Données!A48</f>
        <v>5479</v>
      </c>
      <c r="B48" s="123" t="str">
        <f>Données!B48</f>
        <v>Cuarnens</v>
      </c>
      <c r="C48" s="252">
        <f>Données!C48</f>
        <v>557</v>
      </c>
      <c r="D48" s="249">
        <f>RFS!W48</f>
        <v>1406188.7776906164</v>
      </c>
      <c r="E48" s="265"/>
      <c r="F48" s="271">
        <f t="shared" si="0"/>
        <v>2524.5759024966183</v>
      </c>
      <c r="G48" s="265">
        <f t="shared" si="4"/>
        <v>-938.15752884228414</v>
      </c>
      <c r="H48" s="272">
        <f t="shared" si="1"/>
        <v>-418042.9948521218</v>
      </c>
      <c r="I48" s="244"/>
      <c r="J48" s="236">
        <f t="shared" si="5"/>
        <v>3275.1019255704459</v>
      </c>
      <c r="K48" s="265">
        <f t="shared" si="2"/>
        <v>0</v>
      </c>
      <c r="L48" s="272">
        <f t="shared" si="6"/>
        <v>0</v>
      </c>
      <c r="M48" s="265"/>
      <c r="N48" s="274">
        <f>Données!S48</f>
        <v>218300.05</v>
      </c>
      <c r="O48" s="274">
        <f>Données!T48</f>
        <v>25552.799999999999</v>
      </c>
      <c r="P48" s="274">
        <f>Données!U48</f>
        <v>37672.5</v>
      </c>
      <c r="Q48" s="249">
        <f>Données!V48</f>
        <v>11792.25</v>
      </c>
      <c r="R48" s="236">
        <f t="shared" si="3"/>
        <v>144300.34999999998</v>
      </c>
      <c r="S48" s="253">
        <f t="shared" si="7"/>
        <v>-142968.23747239148</v>
      </c>
      <c r="T48" s="254">
        <f t="shared" si="8"/>
        <v>1332.1125276084931</v>
      </c>
    </row>
    <row r="49" spans="1:20" x14ac:dyDescent="0.25">
      <c r="A49" s="111">
        <f>Données!A49</f>
        <v>5480</v>
      </c>
      <c r="B49" s="123" t="str">
        <f>Données!B49</f>
        <v>Daillens</v>
      </c>
      <c r="C49" s="252">
        <f>Données!C49</f>
        <v>1113</v>
      </c>
      <c r="D49" s="249">
        <f>RFS!W49</f>
        <v>3211584.0415857029</v>
      </c>
      <c r="E49" s="265"/>
      <c r="F49" s="271">
        <f t="shared" si="0"/>
        <v>2885.5202529970375</v>
      </c>
      <c r="G49" s="265">
        <f t="shared" si="4"/>
        <v>-577.21317834186493</v>
      </c>
      <c r="H49" s="272">
        <f t="shared" si="1"/>
        <v>-513950.61399559653</v>
      </c>
      <c r="I49" s="244"/>
      <c r="J49" s="236">
        <f t="shared" si="5"/>
        <v>3347.2907956705294</v>
      </c>
      <c r="K49" s="265">
        <f t="shared" si="2"/>
        <v>0</v>
      </c>
      <c r="L49" s="272">
        <f t="shared" si="6"/>
        <v>0</v>
      </c>
      <c r="M49" s="265"/>
      <c r="N49" s="274">
        <f>Données!S49</f>
        <v>104700.8</v>
      </c>
      <c r="O49" s="274">
        <f>Données!T49</f>
        <v>229.2</v>
      </c>
      <c r="P49" s="274">
        <f>Données!U49</f>
        <v>86665.8</v>
      </c>
      <c r="Q49" s="249">
        <f>Données!V49</f>
        <v>198648.1</v>
      </c>
      <c r="R49" s="236">
        <f t="shared" si="3"/>
        <v>155392.32999999999</v>
      </c>
      <c r="S49" s="253">
        <f t="shared" si="7"/>
        <v>-285679.7994735578</v>
      </c>
      <c r="T49" s="254">
        <f t="shared" si="8"/>
        <v>-130287.46947355781</v>
      </c>
    </row>
    <row r="50" spans="1:20" x14ac:dyDescent="0.25">
      <c r="A50" s="111">
        <f>Données!A50</f>
        <v>5481</v>
      </c>
      <c r="B50" s="123" t="str">
        <f>Données!B50</f>
        <v>Dizy</v>
      </c>
      <c r="C50" s="252">
        <f>Données!C50</f>
        <v>239</v>
      </c>
      <c r="D50" s="249">
        <f>RFS!W50</f>
        <v>582586.77936865063</v>
      </c>
      <c r="E50" s="265"/>
      <c r="F50" s="271">
        <f t="shared" si="0"/>
        <v>2437.6015873165297</v>
      </c>
      <c r="G50" s="265">
        <f t="shared" si="4"/>
        <v>-1025.1318440223727</v>
      </c>
      <c r="H50" s="272">
        <f t="shared" si="1"/>
        <v>-196005.20857707766</v>
      </c>
      <c r="I50" s="244"/>
      <c r="J50" s="236">
        <f t="shared" si="5"/>
        <v>3257.7070625344277</v>
      </c>
      <c r="K50" s="265">
        <f t="shared" si="2"/>
        <v>0</v>
      </c>
      <c r="L50" s="272">
        <f t="shared" si="6"/>
        <v>0</v>
      </c>
      <c r="M50" s="265"/>
      <c r="N50" s="274">
        <f>Données!S50</f>
        <v>8910</v>
      </c>
      <c r="O50" s="274">
        <f>Données!T50</f>
        <v>0</v>
      </c>
      <c r="P50" s="274">
        <f>Données!U50</f>
        <v>16779.3</v>
      </c>
      <c r="Q50" s="249">
        <f>Données!V50</f>
        <v>0</v>
      </c>
      <c r="R50" s="236">
        <f t="shared" si="3"/>
        <v>12844.65</v>
      </c>
      <c r="S50" s="253">
        <f t="shared" si="7"/>
        <v>-61345.437622803525</v>
      </c>
      <c r="T50" s="254">
        <f t="shared" si="8"/>
        <v>-48500.787622803524</v>
      </c>
    </row>
    <row r="51" spans="1:20" x14ac:dyDescent="0.25">
      <c r="A51" s="111">
        <f>Données!A51</f>
        <v>5482</v>
      </c>
      <c r="B51" s="123" t="str">
        <f>Données!B51</f>
        <v>Eclépens</v>
      </c>
      <c r="C51" s="252">
        <f>Données!C51</f>
        <v>1202</v>
      </c>
      <c r="D51" s="249">
        <f>RFS!W51</f>
        <v>3283635.8662531059</v>
      </c>
      <c r="E51" s="265"/>
      <c r="F51" s="271">
        <f t="shared" si="0"/>
        <v>2731.8102048694723</v>
      </c>
      <c r="G51" s="265">
        <f t="shared" si="4"/>
        <v>-730.92322646943012</v>
      </c>
      <c r="H51" s="272">
        <f t="shared" si="1"/>
        <v>-702855.77457300411</v>
      </c>
      <c r="I51" s="244"/>
      <c r="J51" s="236">
        <f t="shared" si="5"/>
        <v>3316.5487860450166</v>
      </c>
      <c r="K51" s="265">
        <f t="shared" si="2"/>
        <v>0</v>
      </c>
      <c r="L51" s="272">
        <f t="shared" si="6"/>
        <v>0</v>
      </c>
      <c r="M51" s="265"/>
      <c r="N51" s="274">
        <f>Données!S51</f>
        <v>64779</v>
      </c>
      <c r="O51" s="274">
        <f>Données!T51</f>
        <v>0</v>
      </c>
      <c r="P51" s="274">
        <f>Données!U51</f>
        <v>45562.65</v>
      </c>
      <c r="Q51" s="249">
        <f>Données!V51</f>
        <v>776281.05</v>
      </c>
      <c r="R51" s="236">
        <f t="shared" si="3"/>
        <v>288055.14</v>
      </c>
      <c r="S51" s="253">
        <f t="shared" si="7"/>
        <v>-308523.91641259345</v>
      </c>
      <c r="T51" s="254">
        <f t="shared" si="8"/>
        <v>-20468.776412593434</v>
      </c>
    </row>
    <row r="52" spans="1:20" x14ac:dyDescent="0.25">
      <c r="A52" s="111">
        <f>Données!A52</f>
        <v>5483</v>
      </c>
      <c r="B52" s="123" t="str">
        <f>Données!B52</f>
        <v>Ferreyres</v>
      </c>
      <c r="C52" s="252">
        <f>Données!C52</f>
        <v>308</v>
      </c>
      <c r="D52" s="249">
        <f>RFS!W52</f>
        <v>687040.89400022791</v>
      </c>
      <c r="E52" s="265"/>
      <c r="F52" s="271">
        <f t="shared" si="0"/>
        <v>2230.6522532474933</v>
      </c>
      <c r="G52" s="265">
        <f t="shared" si="4"/>
        <v>-1232.0811780914091</v>
      </c>
      <c r="H52" s="272">
        <f t="shared" si="1"/>
        <v>-303584.80228172324</v>
      </c>
      <c r="I52" s="244"/>
      <c r="J52" s="236">
        <f t="shared" si="5"/>
        <v>3216.3171957206205</v>
      </c>
      <c r="K52" s="265">
        <f t="shared" si="2"/>
        <v>0</v>
      </c>
      <c r="L52" s="272">
        <f t="shared" si="6"/>
        <v>0</v>
      </c>
      <c r="M52" s="265"/>
      <c r="N52" s="274">
        <f>Données!S52</f>
        <v>28658.65</v>
      </c>
      <c r="O52" s="274">
        <f>Données!T52</f>
        <v>0</v>
      </c>
      <c r="P52" s="274">
        <f>Données!U52</f>
        <v>24852.5</v>
      </c>
      <c r="Q52" s="249">
        <f>Données!V52</f>
        <v>569</v>
      </c>
      <c r="R52" s="236">
        <f t="shared" si="3"/>
        <v>26926.275000000001</v>
      </c>
      <c r="S52" s="253">
        <f t="shared" si="7"/>
        <v>-79056.045137336754</v>
      </c>
      <c r="T52" s="254">
        <f t="shared" si="8"/>
        <v>-52129.770137336753</v>
      </c>
    </row>
    <row r="53" spans="1:20" x14ac:dyDescent="0.25">
      <c r="A53" s="111">
        <f>Données!A53</f>
        <v>5484</v>
      </c>
      <c r="B53" s="123" t="str">
        <f>Données!B53</f>
        <v>Gollion</v>
      </c>
      <c r="C53" s="252">
        <f>Données!C53</f>
        <v>1091</v>
      </c>
      <c r="D53" s="249">
        <f>RFS!W53</f>
        <v>2284002.104221154</v>
      </c>
      <c r="E53" s="265"/>
      <c r="F53" s="271">
        <f t="shared" si="0"/>
        <v>2093.4941376912502</v>
      </c>
      <c r="G53" s="265">
        <f t="shared" si="4"/>
        <v>-1369.2392936476522</v>
      </c>
      <c r="H53" s="272">
        <f t="shared" si="1"/>
        <v>-1195072.055495671</v>
      </c>
      <c r="I53" s="244"/>
      <c r="J53" s="236">
        <f t="shared" si="5"/>
        <v>3188.885572609372</v>
      </c>
      <c r="K53" s="265">
        <f t="shared" si="2"/>
        <v>0</v>
      </c>
      <c r="L53" s="272">
        <f t="shared" si="6"/>
        <v>0</v>
      </c>
      <c r="M53" s="265"/>
      <c r="N53" s="274">
        <f>Données!S53</f>
        <v>228333.9</v>
      </c>
      <c r="O53" s="274">
        <f>Données!T53</f>
        <v>23484</v>
      </c>
      <c r="P53" s="274">
        <f>Données!U53</f>
        <v>236046.2</v>
      </c>
      <c r="Q53" s="249">
        <f>Données!V53</f>
        <v>42469.55</v>
      </c>
      <c r="R53" s="236">
        <f t="shared" si="3"/>
        <v>256672.91499999998</v>
      </c>
      <c r="S53" s="253">
        <f t="shared" si="7"/>
        <v>-280032.93910660519</v>
      </c>
      <c r="T53" s="254">
        <f t="shared" si="8"/>
        <v>-23360.024106605211</v>
      </c>
    </row>
    <row r="54" spans="1:20" x14ac:dyDescent="0.25">
      <c r="A54" s="111">
        <f>Données!A54</f>
        <v>5485</v>
      </c>
      <c r="B54" s="123" t="str">
        <f>Données!B54</f>
        <v>Grancy</v>
      </c>
      <c r="C54" s="252">
        <f>Données!C54</f>
        <v>541</v>
      </c>
      <c r="D54" s="249">
        <f>RFS!W54</f>
        <v>1643320.4421622918</v>
      </c>
      <c r="E54" s="265"/>
      <c r="F54" s="271">
        <f t="shared" si="0"/>
        <v>3037.5608912426837</v>
      </c>
      <c r="G54" s="265">
        <f t="shared" si="4"/>
        <v>-425.17254009621865</v>
      </c>
      <c r="H54" s="272">
        <f t="shared" si="1"/>
        <v>-184014.67535364343</v>
      </c>
      <c r="I54" s="244"/>
      <c r="J54" s="236">
        <f t="shared" si="5"/>
        <v>3377.6989233196587</v>
      </c>
      <c r="K54" s="265">
        <f t="shared" si="2"/>
        <v>0</v>
      </c>
      <c r="L54" s="272">
        <f t="shared" si="6"/>
        <v>0</v>
      </c>
      <c r="M54" s="265"/>
      <c r="N54" s="274">
        <f>Données!S54</f>
        <v>65794.3</v>
      </c>
      <c r="O54" s="274">
        <f>Données!T54</f>
        <v>4930.8999999999996</v>
      </c>
      <c r="P54" s="274">
        <f>Données!U54</f>
        <v>96394.8</v>
      </c>
      <c r="Q54" s="249">
        <f>Données!V54</f>
        <v>8593.2000000000007</v>
      </c>
      <c r="R54" s="236">
        <f t="shared" si="3"/>
        <v>86137.96</v>
      </c>
      <c r="S54" s="253">
        <f t="shared" si="7"/>
        <v>-138861.42993278956</v>
      </c>
      <c r="T54" s="254">
        <f t="shared" si="8"/>
        <v>-52723.469932789551</v>
      </c>
    </row>
    <row r="55" spans="1:20" x14ac:dyDescent="0.25">
      <c r="A55" s="111">
        <f>Données!A55</f>
        <v>5486</v>
      </c>
      <c r="B55" s="123" t="str">
        <f>Données!B55</f>
        <v>L'Isle</v>
      </c>
      <c r="C55" s="252">
        <f>Données!C55</f>
        <v>1106</v>
      </c>
      <c r="D55" s="249">
        <f>RFS!W55</f>
        <v>2482664.972225396</v>
      </c>
      <c r="E55" s="265"/>
      <c r="F55" s="271">
        <f t="shared" si="0"/>
        <v>2244.7242063520757</v>
      </c>
      <c r="G55" s="265">
        <f t="shared" si="4"/>
        <v>-1218.0092249868267</v>
      </c>
      <c r="H55" s="272">
        <f t="shared" si="1"/>
        <v>-1077694.5622683442</v>
      </c>
      <c r="I55" s="244"/>
      <c r="J55" s="236">
        <f t="shared" si="5"/>
        <v>3219.1315863415371</v>
      </c>
      <c r="K55" s="265">
        <f t="shared" si="2"/>
        <v>0</v>
      </c>
      <c r="L55" s="272">
        <f t="shared" si="6"/>
        <v>0</v>
      </c>
      <c r="M55" s="265"/>
      <c r="N55" s="274">
        <f>Données!S55</f>
        <v>145238.20000000001</v>
      </c>
      <c r="O55" s="274">
        <f>Données!T55</f>
        <v>7565.9</v>
      </c>
      <c r="P55" s="274">
        <f>Données!U55</f>
        <v>138350.70000000001</v>
      </c>
      <c r="Q55" s="249">
        <f>Données!V55</f>
        <v>50596.6</v>
      </c>
      <c r="R55" s="236">
        <f t="shared" si="3"/>
        <v>160756.38000000003</v>
      </c>
      <c r="S55" s="253">
        <f t="shared" si="7"/>
        <v>-283883.071174982</v>
      </c>
      <c r="T55" s="254">
        <f t="shared" si="8"/>
        <v>-123126.69117498197</v>
      </c>
    </row>
    <row r="56" spans="1:20" x14ac:dyDescent="0.25">
      <c r="A56" s="111">
        <f>Données!A56</f>
        <v>5487</v>
      </c>
      <c r="B56" s="123" t="str">
        <f>Données!B56</f>
        <v>Lussery-Villars</v>
      </c>
      <c r="C56" s="252">
        <f>Données!C56</f>
        <v>469</v>
      </c>
      <c r="D56" s="249">
        <f>RFS!W56</f>
        <v>1097398.9272301772</v>
      </c>
      <c r="E56" s="265"/>
      <c r="F56" s="271">
        <f t="shared" si="0"/>
        <v>2339.8697808745783</v>
      </c>
      <c r="G56" s="265">
        <f t="shared" si="4"/>
        <v>-1122.8636504643241</v>
      </c>
      <c r="H56" s="272">
        <f t="shared" si="1"/>
        <v>-421298.44165421446</v>
      </c>
      <c r="I56" s="244"/>
      <c r="J56" s="236">
        <f t="shared" si="5"/>
        <v>3238.1607012460377</v>
      </c>
      <c r="K56" s="265">
        <f t="shared" si="2"/>
        <v>0</v>
      </c>
      <c r="L56" s="272">
        <f t="shared" si="6"/>
        <v>0</v>
      </c>
      <c r="M56" s="265"/>
      <c r="N56" s="274">
        <f>Données!S56</f>
        <v>90974.2</v>
      </c>
      <c r="O56" s="274">
        <f>Données!T56</f>
        <v>0</v>
      </c>
      <c r="P56" s="274">
        <f>Données!U56</f>
        <v>110045.7</v>
      </c>
      <c r="Q56" s="249">
        <f>Données!V56</f>
        <v>0</v>
      </c>
      <c r="R56" s="236">
        <f t="shared" si="3"/>
        <v>100509.95</v>
      </c>
      <c r="S56" s="253">
        <f t="shared" si="7"/>
        <v>-120380.79600458097</v>
      </c>
      <c r="T56" s="254">
        <f t="shared" si="8"/>
        <v>-19870.846004580977</v>
      </c>
    </row>
    <row r="57" spans="1:20" x14ac:dyDescent="0.25">
      <c r="A57" s="111">
        <f>Données!A57</f>
        <v>5488</v>
      </c>
      <c r="B57" s="123" t="str">
        <f>Données!B57</f>
        <v>Mauraz</v>
      </c>
      <c r="C57" s="252">
        <f>Données!C57</f>
        <v>74</v>
      </c>
      <c r="D57" s="249">
        <f>RFS!W57</f>
        <v>142048.94261763387</v>
      </c>
      <c r="E57" s="265"/>
      <c r="F57" s="271">
        <f t="shared" si="0"/>
        <v>1919.580305643701</v>
      </c>
      <c r="G57" s="265">
        <f t="shared" si="4"/>
        <v>-1543.1531256952014</v>
      </c>
      <c r="H57" s="272">
        <f t="shared" si="1"/>
        <v>-91354.665041155939</v>
      </c>
      <c r="I57" s="244"/>
      <c r="J57" s="236">
        <f t="shared" si="5"/>
        <v>3154.1028061998622</v>
      </c>
      <c r="K57" s="265">
        <f t="shared" si="2"/>
        <v>0</v>
      </c>
      <c r="L57" s="272">
        <f t="shared" si="6"/>
        <v>0</v>
      </c>
      <c r="M57" s="265"/>
      <c r="N57" s="274">
        <f>Données!S57</f>
        <v>0</v>
      </c>
      <c r="O57" s="274">
        <f>Données!T57</f>
        <v>0</v>
      </c>
      <c r="P57" s="274">
        <f>Données!U57</f>
        <v>0</v>
      </c>
      <c r="Q57" s="249">
        <f>Données!V57</f>
        <v>0</v>
      </c>
      <c r="R57" s="236">
        <f t="shared" si="3"/>
        <v>0</v>
      </c>
      <c r="S57" s="253">
        <f t="shared" si="7"/>
        <v>-18993.984870658831</v>
      </c>
      <c r="T57" s="254">
        <f t="shared" si="8"/>
        <v>-18993.984870658831</v>
      </c>
    </row>
    <row r="58" spans="1:20" x14ac:dyDescent="0.25">
      <c r="A58" s="111">
        <f>Données!A58</f>
        <v>5489</v>
      </c>
      <c r="B58" s="123" t="str">
        <f>Données!B58</f>
        <v>Mex</v>
      </c>
      <c r="C58" s="252">
        <f>Données!C58</f>
        <v>828</v>
      </c>
      <c r="D58" s="249">
        <f>RFS!W58</f>
        <v>5656248.5930176722</v>
      </c>
      <c r="E58" s="265"/>
      <c r="F58" s="271">
        <f t="shared" si="0"/>
        <v>6831.2181075092658</v>
      </c>
      <c r="G58" s="265">
        <f t="shared" si="4"/>
        <v>3368.4846761703634</v>
      </c>
      <c r="H58" s="272">
        <f t="shared" si="1"/>
        <v>2231284.2494952488</v>
      </c>
      <c r="I58" s="244"/>
      <c r="J58" s="236">
        <f t="shared" si="5"/>
        <v>4136.4303665729749</v>
      </c>
      <c r="K58" s="265">
        <f t="shared" si="2"/>
        <v>0</v>
      </c>
      <c r="L58" s="272">
        <f t="shared" si="6"/>
        <v>0</v>
      </c>
      <c r="M58" s="265"/>
      <c r="N58" s="274">
        <f>Données!S58</f>
        <v>45485</v>
      </c>
      <c r="O58" s="274">
        <f>Données!T58</f>
        <v>0</v>
      </c>
      <c r="P58" s="274">
        <f>Données!U58</f>
        <v>84296.75</v>
      </c>
      <c r="Q58" s="249">
        <f>Données!V58</f>
        <v>263408.09999999998</v>
      </c>
      <c r="R58" s="236">
        <f t="shared" si="3"/>
        <v>143913.30499999999</v>
      </c>
      <c r="S58" s="253">
        <f t="shared" si="7"/>
        <v>-212527.2901743988</v>
      </c>
      <c r="T58" s="254">
        <f t="shared" si="8"/>
        <v>-68613.985174398811</v>
      </c>
    </row>
    <row r="59" spans="1:20" x14ac:dyDescent="0.25">
      <c r="A59" s="111">
        <f>Données!A59</f>
        <v>5490</v>
      </c>
      <c r="B59" s="123" t="str">
        <f>Données!B59</f>
        <v>Moiry</v>
      </c>
      <c r="C59" s="252">
        <f>Données!C59</f>
        <v>295</v>
      </c>
      <c r="D59" s="249">
        <f>RFS!W59</f>
        <v>555166.06235910195</v>
      </c>
      <c r="E59" s="265"/>
      <c r="F59" s="271">
        <f t="shared" si="0"/>
        <v>1881.9188554545829</v>
      </c>
      <c r="G59" s="265">
        <f t="shared" si="4"/>
        <v>-1580.8145758843195</v>
      </c>
      <c r="H59" s="272">
        <f t="shared" si="1"/>
        <v>-373072.23990869941</v>
      </c>
      <c r="I59" s="244"/>
      <c r="J59" s="236">
        <f t="shared" si="5"/>
        <v>3146.5705161620385</v>
      </c>
      <c r="K59" s="265">
        <f t="shared" si="2"/>
        <v>0</v>
      </c>
      <c r="L59" s="272">
        <f t="shared" si="6"/>
        <v>0</v>
      </c>
      <c r="M59" s="265"/>
      <c r="N59" s="274">
        <f>Données!S59</f>
        <v>15878.55</v>
      </c>
      <c r="O59" s="274">
        <f>Données!T59</f>
        <v>0</v>
      </c>
      <c r="P59" s="274">
        <f>Données!U59</f>
        <v>7044.8</v>
      </c>
      <c r="Q59" s="249">
        <f>Données!V59</f>
        <v>0</v>
      </c>
      <c r="R59" s="236">
        <f t="shared" si="3"/>
        <v>11461.674999999999</v>
      </c>
      <c r="S59" s="253">
        <f t="shared" si="7"/>
        <v>-75719.264011410211</v>
      </c>
      <c r="T59" s="254">
        <f t="shared" si="8"/>
        <v>-64257.589011410208</v>
      </c>
    </row>
    <row r="60" spans="1:20" x14ac:dyDescent="0.25">
      <c r="A60" s="111">
        <f>Données!A60</f>
        <v>5491</v>
      </c>
      <c r="B60" s="123" t="str">
        <f>Données!B60</f>
        <v>Mont-la-Ville</v>
      </c>
      <c r="C60" s="252">
        <f>Données!C60</f>
        <v>504</v>
      </c>
      <c r="D60" s="249">
        <f>RFS!W60</f>
        <v>739782.67072187888</v>
      </c>
      <c r="E60" s="265"/>
      <c r="F60" s="271">
        <f t="shared" si="0"/>
        <v>1467.8227593688073</v>
      </c>
      <c r="G60" s="265">
        <f t="shared" si="4"/>
        <v>-1994.9106719700951</v>
      </c>
      <c r="H60" s="272">
        <f t="shared" si="1"/>
        <v>-804347.98293834238</v>
      </c>
      <c r="I60" s="244"/>
      <c r="J60" s="236">
        <f t="shared" si="5"/>
        <v>3063.7512969448835</v>
      </c>
      <c r="K60" s="265">
        <f t="shared" si="2"/>
        <v>-52.708791260128692</v>
      </c>
      <c r="L60" s="272">
        <f t="shared" si="6"/>
        <v>-26565</v>
      </c>
      <c r="M60" s="265"/>
      <c r="N60" s="274">
        <f>Données!S60</f>
        <v>24357.8</v>
      </c>
      <c r="O60" s="274">
        <f>Données!T60</f>
        <v>53004.3</v>
      </c>
      <c r="P60" s="274">
        <f>Données!U60</f>
        <v>33959.599999999999</v>
      </c>
      <c r="Q60" s="249">
        <f>Données!V60</f>
        <v>0</v>
      </c>
      <c r="R60" s="236">
        <f t="shared" si="3"/>
        <v>55660.850000000006</v>
      </c>
      <c r="S60" s="253">
        <f t="shared" si="7"/>
        <v>-129364.43749746015</v>
      </c>
      <c r="T60" s="254">
        <f t="shared" si="8"/>
        <v>-73703.587497460147</v>
      </c>
    </row>
    <row r="61" spans="1:20" x14ac:dyDescent="0.25">
      <c r="A61" s="111">
        <f>Données!A61</f>
        <v>5492</v>
      </c>
      <c r="B61" s="123" t="str">
        <f>Données!B61</f>
        <v>Montricher</v>
      </c>
      <c r="C61" s="252">
        <f>Données!C61</f>
        <v>947</v>
      </c>
      <c r="D61" s="249">
        <f>RFS!W61</f>
        <v>12476636.904818587</v>
      </c>
      <c r="E61" s="265"/>
      <c r="F61" s="271">
        <f t="shared" si="0"/>
        <v>13174.906974465244</v>
      </c>
      <c r="G61" s="265">
        <f t="shared" si="4"/>
        <v>9712.1735431263423</v>
      </c>
      <c r="H61" s="272">
        <f t="shared" si="1"/>
        <v>7357942.6762725171</v>
      </c>
      <c r="I61" s="244"/>
      <c r="J61" s="236">
        <f t="shared" si="5"/>
        <v>5405.1681399641711</v>
      </c>
      <c r="K61" s="265">
        <f t="shared" si="2"/>
        <v>0</v>
      </c>
      <c r="L61" s="272">
        <f t="shared" si="6"/>
        <v>0</v>
      </c>
      <c r="M61" s="265"/>
      <c r="N61" s="274">
        <f>Données!S61</f>
        <v>125859.95</v>
      </c>
      <c r="O61" s="274">
        <f>Données!T61</f>
        <v>99050</v>
      </c>
      <c r="P61" s="274">
        <f>Données!U61</f>
        <v>65762</v>
      </c>
      <c r="Q61" s="249">
        <f>Données!V61</f>
        <v>7027.85</v>
      </c>
      <c r="R61" s="236">
        <f t="shared" si="3"/>
        <v>147444.33000000002</v>
      </c>
      <c r="S61" s="253">
        <f t="shared" si="7"/>
        <v>-243071.67125018802</v>
      </c>
      <c r="T61" s="254">
        <f t="shared" si="8"/>
        <v>-95627.341250188008</v>
      </c>
    </row>
    <row r="62" spans="1:20" x14ac:dyDescent="0.25">
      <c r="A62" s="111">
        <f>Données!A62</f>
        <v>5493</v>
      </c>
      <c r="B62" s="123" t="str">
        <f>Données!B62</f>
        <v>Orny</v>
      </c>
      <c r="C62" s="252">
        <f>Données!C62</f>
        <v>525</v>
      </c>
      <c r="D62" s="249">
        <f>RFS!W62</f>
        <v>1125247.5736194795</v>
      </c>
      <c r="E62" s="265"/>
      <c r="F62" s="271">
        <f t="shared" si="0"/>
        <v>2143.3287116561514</v>
      </c>
      <c r="G62" s="265">
        <f t="shared" si="4"/>
        <v>-1319.404719682751</v>
      </c>
      <c r="H62" s="272">
        <f t="shared" si="1"/>
        <v>-554149.98226675543</v>
      </c>
      <c r="I62" s="244"/>
      <c r="J62" s="236">
        <f t="shared" si="5"/>
        <v>3198.8524874023524</v>
      </c>
      <c r="K62" s="265">
        <f t="shared" si="2"/>
        <v>0</v>
      </c>
      <c r="L62" s="272">
        <f t="shared" si="6"/>
        <v>0</v>
      </c>
      <c r="M62" s="265"/>
      <c r="N62" s="274">
        <f>Données!S62</f>
        <v>53539.25</v>
      </c>
      <c r="O62" s="274">
        <f>Données!T62</f>
        <v>47045.8</v>
      </c>
      <c r="P62" s="274">
        <f>Données!U62</f>
        <v>60198</v>
      </c>
      <c r="Q62" s="249">
        <f>Données!V62</f>
        <v>55584.85</v>
      </c>
      <c r="R62" s="236">
        <f t="shared" si="3"/>
        <v>97066.98</v>
      </c>
      <c r="S62" s="253">
        <f t="shared" si="7"/>
        <v>-134754.62239318766</v>
      </c>
      <c r="T62" s="254">
        <f t="shared" si="8"/>
        <v>-37687.642393187663</v>
      </c>
    </row>
    <row r="63" spans="1:20" x14ac:dyDescent="0.25">
      <c r="A63" s="111">
        <f>Données!A63</f>
        <v>5495</v>
      </c>
      <c r="B63" s="123" t="str">
        <f>Données!B63</f>
        <v>Penthalaz</v>
      </c>
      <c r="C63" s="252">
        <f>Données!C63</f>
        <v>3199</v>
      </c>
      <c r="D63" s="249">
        <f>RFS!W63</f>
        <v>6374915.2568665063</v>
      </c>
      <c r="E63" s="265"/>
      <c r="F63" s="271">
        <f t="shared" si="0"/>
        <v>1992.7837626966259</v>
      </c>
      <c r="G63" s="265">
        <f t="shared" si="4"/>
        <v>-1469.9496686422765</v>
      </c>
      <c r="H63" s="272">
        <f t="shared" si="1"/>
        <v>-3761895.1919893138</v>
      </c>
      <c r="I63" s="244"/>
      <c r="J63" s="236">
        <f t="shared" si="5"/>
        <v>3168.7434976104473</v>
      </c>
      <c r="K63" s="265">
        <f t="shared" si="2"/>
        <v>0</v>
      </c>
      <c r="L63" s="272">
        <f t="shared" si="6"/>
        <v>0</v>
      </c>
      <c r="M63" s="265"/>
      <c r="N63" s="274">
        <f>Données!S63</f>
        <v>245062.3</v>
      </c>
      <c r="O63" s="274">
        <f>Données!T63</f>
        <v>138869.29999999999</v>
      </c>
      <c r="P63" s="274">
        <f>Données!U63</f>
        <v>217812.95</v>
      </c>
      <c r="Q63" s="249">
        <f>Données!V63</f>
        <v>409229.2</v>
      </c>
      <c r="R63" s="236">
        <f t="shared" si="3"/>
        <v>423641.03500000003</v>
      </c>
      <c r="S63" s="253">
        <f t="shared" si="7"/>
        <v>-821104.83244915679</v>
      </c>
      <c r="T63" s="254">
        <f t="shared" si="8"/>
        <v>-397463.79744915676</v>
      </c>
    </row>
    <row r="64" spans="1:20" x14ac:dyDescent="0.25">
      <c r="A64" s="111">
        <f>Données!A64</f>
        <v>5496</v>
      </c>
      <c r="B64" s="123" t="str">
        <f>Données!B64</f>
        <v>Penthaz</v>
      </c>
      <c r="C64" s="252">
        <f>Données!C64</f>
        <v>1910</v>
      </c>
      <c r="D64" s="249">
        <f>RFS!W64</f>
        <v>4295493.5232265983</v>
      </c>
      <c r="E64" s="265"/>
      <c r="F64" s="271">
        <f t="shared" si="0"/>
        <v>2248.9494886003131</v>
      </c>
      <c r="G64" s="265">
        <f t="shared" si="4"/>
        <v>-1213.7839427385893</v>
      </c>
      <c r="H64" s="272">
        <f t="shared" si="1"/>
        <v>-1854661.8645045646</v>
      </c>
      <c r="I64" s="244"/>
      <c r="J64" s="236">
        <f t="shared" si="5"/>
        <v>3219.9766427911845</v>
      </c>
      <c r="K64" s="265">
        <f t="shared" si="2"/>
        <v>0</v>
      </c>
      <c r="L64" s="272">
        <f t="shared" si="6"/>
        <v>0</v>
      </c>
      <c r="M64" s="265"/>
      <c r="N64" s="274">
        <f>Données!S64</f>
        <v>138263.04999999999</v>
      </c>
      <c r="O64" s="274">
        <f>Données!T64</f>
        <v>20858.5</v>
      </c>
      <c r="P64" s="274">
        <f>Données!U64</f>
        <v>137511.79999999999</v>
      </c>
      <c r="Q64" s="249">
        <f>Données!V64</f>
        <v>109361.05</v>
      </c>
      <c r="R64" s="236">
        <f t="shared" si="3"/>
        <v>181124.99</v>
      </c>
      <c r="S64" s="253">
        <f t="shared" si="7"/>
        <v>-490250.15003997792</v>
      </c>
      <c r="T64" s="254">
        <f t="shared" si="8"/>
        <v>-309125.16003997793</v>
      </c>
    </row>
    <row r="65" spans="1:20" x14ac:dyDescent="0.25">
      <c r="A65" s="111">
        <f>Données!A65</f>
        <v>5497</v>
      </c>
      <c r="B65" s="123" t="str">
        <f>Données!B65</f>
        <v>Pompaples</v>
      </c>
      <c r="C65" s="252">
        <f>Données!C65</f>
        <v>917</v>
      </c>
      <c r="D65" s="249">
        <f>RFS!W65</f>
        <v>1697565.6506059426</v>
      </c>
      <c r="E65" s="265"/>
      <c r="F65" s="271">
        <f t="shared" si="0"/>
        <v>1851.2166309770366</v>
      </c>
      <c r="G65" s="265">
        <f t="shared" si="4"/>
        <v>-1611.5168003618658</v>
      </c>
      <c r="H65" s="272">
        <f t="shared" si="1"/>
        <v>-1182208.7247454647</v>
      </c>
      <c r="I65" s="244"/>
      <c r="J65" s="236">
        <f t="shared" si="5"/>
        <v>3140.4300712665295</v>
      </c>
      <c r="K65" s="265">
        <f t="shared" si="2"/>
        <v>0</v>
      </c>
      <c r="L65" s="272">
        <f t="shared" si="6"/>
        <v>0</v>
      </c>
      <c r="M65" s="265"/>
      <c r="N65" s="274">
        <f>Données!S65</f>
        <v>72985</v>
      </c>
      <c r="O65" s="274">
        <f>Données!T65</f>
        <v>12639.6</v>
      </c>
      <c r="P65" s="274">
        <f>Données!U65</f>
        <v>16364.55</v>
      </c>
      <c r="Q65" s="249">
        <f>Données!V65</f>
        <v>249648.55</v>
      </c>
      <c r="R65" s="236">
        <f t="shared" si="3"/>
        <v>125889.13999999998</v>
      </c>
      <c r="S65" s="253">
        <f t="shared" si="7"/>
        <v>-235371.40711343443</v>
      </c>
      <c r="T65" s="254">
        <f t="shared" si="8"/>
        <v>-109482.26711343444</v>
      </c>
    </row>
    <row r="66" spans="1:20" x14ac:dyDescent="0.25">
      <c r="A66" s="111">
        <f>Données!A66</f>
        <v>5498</v>
      </c>
      <c r="B66" s="123" t="str">
        <f>Données!B66</f>
        <v>La Sarraz</v>
      </c>
      <c r="C66" s="252">
        <f>Données!C66</f>
        <v>2609</v>
      </c>
      <c r="D66" s="249">
        <f>RFS!W66</f>
        <v>5183781.0225305371</v>
      </c>
      <c r="E66" s="265"/>
      <c r="F66" s="271">
        <f t="shared" si="0"/>
        <v>1986.8842554735672</v>
      </c>
      <c r="G66" s="265">
        <f t="shared" si="4"/>
        <v>-1475.8491758653352</v>
      </c>
      <c r="H66" s="272">
        <f t="shared" si="1"/>
        <v>-3080392.3998661279</v>
      </c>
      <c r="I66" s="244"/>
      <c r="J66" s="236">
        <f t="shared" si="5"/>
        <v>3167.5635961658359</v>
      </c>
      <c r="K66" s="265">
        <f t="shared" si="2"/>
        <v>0</v>
      </c>
      <c r="L66" s="272">
        <f t="shared" si="6"/>
        <v>0</v>
      </c>
      <c r="M66" s="265"/>
      <c r="N66" s="274">
        <f>Données!S66</f>
        <v>175175</v>
      </c>
      <c r="O66" s="274">
        <f>Données!T66</f>
        <v>10196.799999999999</v>
      </c>
      <c r="P66" s="274">
        <f>Données!U66</f>
        <v>146701.6</v>
      </c>
      <c r="Q66" s="249">
        <f>Données!V66</f>
        <v>111167.3</v>
      </c>
      <c r="R66" s="236">
        <f t="shared" si="3"/>
        <v>199386.89</v>
      </c>
      <c r="S66" s="253">
        <f t="shared" si="7"/>
        <v>-669666.30442633631</v>
      </c>
      <c r="T66" s="254">
        <f t="shared" si="8"/>
        <v>-470279.4144263363</v>
      </c>
    </row>
    <row r="67" spans="1:20" x14ac:dyDescent="0.25">
      <c r="A67" s="111">
        <f>Données!A67</f>
        <v>5499</v>
      </c>
      <c r="B67" s="123" t="str">
        <f>Données!B67</f>
        <v>Senarclens</v>
      </c>
      <c r="C67" s="252">
        <f>Données!C67</f>
        <v>505</v>
      </c>
      <c r="D67" s="249">
        <f>RFS!W67</f>
        <v>1496153.8039772145</v>
      </c>
      <c r="E67" s="265"/>
      <c r="F67" s="271">
        <f t="shared" si="0"/>
        <v>2962.6807999548801</v>
      </c>
      <c r="G67" s="265">
        <f t="shared" si="4"/>
        <v>-500.05263138402233</v>
      </c>
      <c r="H67" s="272">
        <f t="shared" si="1"/>
        <v>-202021.26307914502</v>
      </c>
      <c r="I67" s="244"/>
      <c r="J67" s="236">
        <f t="shared" si="5"/>
        <v>3362.7229050620981</v>
      </c>
      <c r="K67" s="265">
        <f t="shared" si="2"/>
        <v>0</v>
      </c>
      <c r="L67" s="272">
        <f t="shared" si="6"/>
        <v>0</v>
      </c>
      <c r="M67" s="265"/>
      <c r="N67" s="274">
        <f>Données!S67</f>
        <v>80206</v>
      </c>
      <c r="O67" s="274">
        <f>Données!T67</f>
        <v>320476.2</v>
      </c>
      <c r="P67" s="274">
        <f>Données!U67</f>
        <v>71311.850000000006</v>
      </c>
      <c r="Q67" s="249">
        <f>Données!V67</f>
        <v>27100.05</v>
      </c>
      <c r="R67" s="236">
        <f t="shared" si="3"/>
        <v>244127.04000000004</v>
      </c>
      <c r="S67" s="253">
        <f t="shared" si="7"/>
        <v>-129621.11296868527</v>
      </c>
      <c r="T67" s="254">
        <f t="shared" si="8"/>
        <v>114505.92703131477</v>
      </c>
    </row>
    <row r="68" spans="1:20" x14ac:dyDescent="0.25">
      <c r="A68" s="111">
        <f>Données!A68</f>
        <v>5501</v>
      </c>
      <c r="B68" s="123" t="str">
        <f>Données!B68</f>
        <v>Sullens</v>
      </c>
      <c r="C68" s="252">
        <f>Données!C68</f>
        <v>1282</v>
      </c>
      <c r="D68" s="249">
        <f>RFS!W68</f>
        <v>3884452.5412969529</v>
      </c>
      <c r="E68" s="265"/>
      <c r="F68" s="271">
        <f t="shared" si="0"/>
        <v>3029.9941819789024</v>
      </c>
      <c r="G68" s="265">
        <f t="shared" si="4"/>
        <v>-432.73924936000003</v>
      </c>
      <c r="H68" s="272">
        <f t="shared" si="1"/>
        <v>-443817.37414361606</v>
      </c>
      <c r="I68" s="244"/>
      <c r="J68" s="236">
        <f t="shared" si="5"/>
        <v>3376.1855814669025</v>
      </c>
      <c r="K68" s="265">
        <f t="shared" si="2"/>
        <v>0</v>
      </c>
      <c r="L68" s="272">
        <f t="shared" si="6"/>
        <v>0</v>
      </c>
      <c r="M68" s="265"/>
      <c r="N68" s="274">
        <f>Données!S68</f>
        <v>282313</v>
      </c>
      <c r="O68" s="274">
        <f>Données!T68</f>
        <v>28173.9</v>
      </c>
      <c r="P68" s="274">
        <f>Données!U68</f>
        <v>150747.75</v>
      </c>
      <c r="Q68" s="249">
        <f>Données!V68</f>
        <v>14116.75</v>
      </c>
      <c r="R68" s="236">
        <f t="shared" si="3"/>
        <v>234852.35</v>
      </c>
      <c r="S68" s="253">
        <f t="shared" si="7"/>
        <v>-329057.95411060296</v>
      </c>
      <c r="T68" s="254">
        <f t="shared" si="8"/>
        <v>-94205.604110602959</v>
      </c>
    </row>
    <row r="69" spans="1:20" x14ac:dyDescent="0.25">
      <c r="A69" s="111">
        <f>Données!A69</f>
        <v>5503</v>
      </c>
      <c r="B69" s="123" t="str">
        <f>Données!B69</f>
        <v>Vufflens-la-Ville</v>
      </c>
      <c r="C69" s="252">
        <f>Données!C69</f>
        <v>1327</v>
      </c>
      <c r="D69" s="249">
        <f>RFS!W69</f>
        <v>7733853.822127223</v>
      </c>
      <c r="E69" s="265"/>
      <c r="F69" s="271">
        <f t="shared" si="0"/>
        <v>5828.0737167499792</v>
      </c>
      <c r="G69" s="265">
        <f t="shared" si="4"/>
        <v>2365.3402854110768</v>
      </c>
      <c r="H69" s="272">
        <f t="shared" si="1"/>
        <v>2511045.246992399</v>
      </c>
      <c r="I69" s="244"/>
      <c r="J69" s="236">
        <f t="shared" si="5"/>
        <v>3935.8014884211184</v>
      </c>
      <c r="K69" s="265">
        <f t="shared" si="2"/>
        <v>0</v>
      </c>
      <c r="L69" s="272">
        <f t="shared" si="6"/>
        <v>0</v>
      </c>
      <c r="M69" s="265"/>
      <c r="N69" s="274">
        <f>Données!S69</f>
        <v>73849.899999999994</v>
      </c>
      <c r="O69" s="274">
        <f>Données!T69</f>
        <v>4645.5</v>
      </c>
      <c r="P69" s="274">
        <f>Données!U69</f>
        <v>69896</v>
      </c>
      <c r="Q69" s="249">
        <f>Données!V69</f>
        <v>333874.40000000002</v>
      </c>
      <c r="R69" s="236">
        <f t="shared" si="3"/>
        <v>174358.02000000002</v>
      </c>
      <c r="S69" s="253">
        <f t="shared" si="7"/>
        <v>-340608.35031573335</v>
      </c>
      <c r="T69" s="254">
        <f t="shared" si="8"/>
        <v>-166250.33031573333</v>
      </c>
    </row>
    <row r="70" spans="1:20" x14ac:dyDescent="0.25">
      <c r="A70" s="111">
        <f>Données!A70</f>
        <v>5511</v>
      </c>
      <c r="B70" s="123" t="str">
        <f>Données!B70</f>
        <v>Assens</v>
      </c>
      <c r="C70" s="252">
        <f>Données!C70</f>
        <v>1747</v>
      </c>
      <c r="D70" s="249">
        <f>RFS!W70</f>
        <v>5074594.9529864052</v>
      </c>
      <c r="E70" s="265"/>
      <c r="F70" s="271">
        <f t="shared" si="0"/>
        <v>2904.7481127569577</v>
      </c>
      <c r="G70" s="265">
        <f t="shared" si="4"/>
        <v>-557.98531858194474</v>
      </c>
      <c r="H70" s="272">
        <f t="shared" si="1"/>
        <v>-779840.28125012608</v>
      </c>
      <c r="I70" s="244"/>
      <c r="J70" s="236">
        <f t="shared" si="5"/>
        <v>3351.1363676225133</v>
      </c>
      <c r="K70" s="265">
        <f t="shared" si="2"/>
        <v>0</v>
      </c>
      <c r="L70" s="272">
        <f t="shared" si="6"/>
        <v>0</v>
      </c>
      <c r="M70" s="265"/>
      <c r="N70" s="274">
        <f>Données!S70</f>
        <v>117897</v>
      </c>
      <c r="O70" s="274">
        <f>Données!T70</f>
        <v>21018.400000000001</v>
      </c>
      <c r="P70" s="274">
        <f>Données!U70</f>
        <v>63121.1</v>
      </c>
      <c r="Q70" s="249">
        <f>Données!V70</f>
        <v>461159.8</v>
      </c>
      <c r="R70" s="236">
        <f t="shared" si="3"/>
        <v>239366.19</v>
      </c>
      <c r="S70" s="253">
        <f t="shared" si="7"/>
        <v>-448412.04823028349</v>
      </c>
      <c r="T70" s="254">
        <f t="shared" si="8"/>
        <v>-209045.85823028348</v>
      </c>
    </row>
    <row r="71" spans="1:20" x14ac:dyDescent="0.25">
      <c r="A71" s="111">
        <f>Données!A71</f>
        <v>5512</v>
      </c>
      <c r="B71" s="123" t="str">
        <f>Données!B71</f>
        <v>Bercher</v>
      </c>
      <c r="C71" s="252">
        <f>Données!C71</f>
        <v>1359</v>
      </c>
      <c r="D71" s="249">
        <f>RFS!W71</f>
        <v>2906173.270577726</v>
      </c>
      <c r="E71" s="265"/>
      <c r="F71" s="271">
        <f t="shared" si="0"/>
        <v>2138.4645110947213</v>
      </c>
      <c r="G71" s="265">
        <f t="shared" si="4"/>
        <v>-1324.2689202441811</v>
      </c>
      <c r="H71" s="272">
        <f t="shared" si="1"/>
        <v>-1439745.1700894739</v>
      </c>
      <c r="I71" s="244"/>
      <c r="J71" s="236">
        <f t="shared" si="5"/>
        <v>3197.8796472900663</v>
      </c>
      <c r="K71" s="265">
        <f t="shared" si="2"/>
        <v>0</v>
      </c>
      <c r="L71" s="272">
        <f t="shared" si="6"/>
        <v>0</v>
      </c>
      <c r="M71" s="265"/>
      <c r="N71" s="274">
        <f>Données!S71</f>
        <v>184219.75</v>
      </c>
      <c r="O71" s="274">
        <f>Données!T71</f>
        <v>620.79999999999995</v>
      </c>
      <c r="P71" s="274">
        <f>Données!U71</f>
        <v>211187.55</v>
      </c>
      <c r="Q71" s="249">
        <f>Données!V71</f>
        <v>81237.350000000006</v>
      </c>
      <c r="R71" s="236">
        <f t="shared" si="3"/>
        <v>222385.255</v>
      </c>
      <c r="S71" s="253">
        <f t="shared" si="7"/>
        <v>-348821.9653949372</v>
      </c>
      <c r="T71" s="254">
        <f t="shared" si="8"/>
        <v>-126436.7103949372</v>
      </c>
    </row>
    <row r="72" spans="1:20" x14ac:dyDescent="0.25">
      <c r="A72" s="111">
        <f>Données!A72</f>
        <v>5514</v>
      </c>
      <c r="B72" s="123" t="str">
        <f>Données!B72</f>
        <v>Bottens</v>
      </c>
      <c r="C72" s="252">
        <f>Données!C72</f>
        <v>1389</v>
      </c>
      <c r="D72" s="249">
        <f>RFS!W72</f>
        <v>3144557.6654813751</v>
      </c>
      <c r="E72" s="265"/>
      <c r="F72" s="271">
        <f t="shared" ref="F72:F135" si="9">D72/C72</f>
        <v>2263.9004071140207</v>
      </c>
      <c r="G72" s="265">
        <f t="shared" si="4"/>
        <v>-1198.8330242248817</v>
      </c>
      <c r="H72" s="272">
        <f t="shared" ref="H72:H135" si="10">G72*$G$6*C72</f>
        <v>-1332143.2565186885</v>
      </c>
      <c r="I72" s="244"/>
      <c r="J72" s="236">
        <f t="shared" si="5"/>
        <v>3222.9668264939264</v>
      </c>
      <c r="K72" s="265">
        <f t="shared" ref="K72:K135" si="11">IF(J72&lt;$J$6,J72-($J$6),0)</f>
        <v>0</v>
      </c>
      <c r="L72" s="272">
        <f t="shared" si="6"/>
        <v>0</v>
      </c>
      <c r="M72" s="265"/>
      <c r="N72" s="274">
        <f>Données!S72</f>
        <v>111726.45</v>
      </c>
      <c r="O72" s="274">
        <f>Données!T72</f>
        <v>14695.1</v>
      </c>
      <c r="P72" s="274">
        <f>Données!U72</f>
        <v>81855.649999999994</v>
      </c>
      <c r="Q72" s="249">
        <f>Données!V72</f>
        <v>16838.75</v>
      </c>
      <c r="R72" s="236">
        <f t="shared" ref="R72:R135" si="12">SUMPRODUCT($N$6:$Q$6,N72:Q72)</f>
        <v>109190.22500000001</v>
      </c>
      <c r="S72" s="253">
        <f t="shared" ref="S72:S135" si="13">-($R$308-$S$6)/$C$308*C72</f>
        <v>-356522.22953169077</v>
      </c>
      <c r="T72" s="254">
        <f t="shared" si="8"/>
        <v>-247332.00453169076</v>
      </c>
    </row>
    <row r="73" spans="1:20" x14ac:dyDescent="0.25">
      <c r="A73" s="111">
        <f>Données!A73</f>
        <v>5515</v>
      </c>
      <c r="B73" s="123" t="str">
        <f>Données!B73</f>
        <v>Bretigny-sur-Morrens</v>
      </c>
      <c r="C73" s="252">
        <f>Données!C73</f>
        <v>893</v>
      </c>
      <c r="D73" s="249">
        <f>RFS!W73</f>
        <v>2118082.8359169778</v>
      </c>
      <c r="E73" s="265"/>
      <c r="F73" s="271">
        <f t="shared" si="9"/>
        <v>2371.8732765027748</v>
      </c>
      <c r="G73" s="265">
        <f t="shared" ref="G73:G136" si="14">F73-$F$308</f>
        <v>-1090.8601548361275</v>
      </c>
      <c r="H73" s="272">
        <f t="shared" si="10"/>
        <v>-779310.49461492954</v>
      </c>
      <c r="I73" s="244"/>
      <c r="J73" s="236">
        <f t="shared" ref="J73:J136" si="15">(D73-H73)/C73</f>
        <v>3244.5614003716769</v>
      </c>
      <c r="K73" s="265">
        <f t="shared" si="11"/>
        <v>0</v>
      </c>
      <c r="L73" s="272">
        <f t="shared" ref="L73:L136" si="16">ROUND(K73*C73,0)</f>
        <v>0</v>
      </c>
      <c r="M73" s="265"/>
      <c r="N73" s="274">
        <f>Données!S73</f>
        <v>44110</v>
      </c>
      <c r="O73" s="274">
        <f>Données!T73</f>
        <v>0</v>
      </c>
      <c r="P73" s="274">
        <f>Données!U73</f>
        <v>80017.149999999994</v>
      </c>
      <c r="Q73" s="249">
        <f>Données!V73</f>
        <v>31578.15</v>
      </c>
      <c r="R73" s="236">
        <f t="shared" si="12"/>
        <v>71537.01999999999</v>
      </c>
      <c r="S73" s="253">
        <f t="shared" si="13"/>
        <v>-229211.19580403157</v>
      </c>
      <c r="T73" s="254">
        <f t="shared" ref="T73:T136" si="17">R73+S73</f>
        <v>-157674.17580403158</v>
      </c>
    </row>
    <row r="74" spans="1:20" x14ac:dyDescent="0.25">
      <c r="A74" s="111">
        <f>Données!A74</f>
        <v>5516</v>
      </c>
      <c r="B74" s="123" t="str">
        <f>Données!B74</f>
        <v>Cugy</v>
      </c>
      <c r="C74" s="252">
        <f>Données!C74</f>
        <v>2824</v>
      </c>
      <c r="D74" s="249">
        <f>RFS!W74</f>
        <v>7562453.7467213608</v>
      </c>
      <c r="E74" s="265"/>
      <c r="F74" s="271">
        <f t="shared" si="9"/>
        <v>2677.9227148446744</v>
      </c>
      <c r="G74" s="265">
        <f t="shared" si="14"/>
        <v>-784.81071649422802</v>
      </c>
      <c r="H74" s="272">
        <f t="shared" si="10"/>
        <v>-1773044.3707037598</v>
      </c>
      <c r="I74" s="244"/>
      <c r="J74" s="236">
        <f t="shared" si="15"/>
        <v>3305.7712880400572</v>
      </c>
      <c r="K74" s="265">
        <f t="shared" si="11"/>
        <v>0</v>
      </c>
      <c r="L74" s="272">
        <f t="shared" si="16"/>
        <v>0</v>
      </c>
      <c r="M74" s="265"/>
      <c r="N74" s="274">
        <f>Données!S74</f>
        <v>273364.2</v>
      </c>
      <c r="O74" s="274">
        <f>Données!T74</f>
        <v>10104.200000000001</v>
      </c>
      <c r="P74" s="274">
        <f>Données!U74</f>
        <v>260229.35</v>
      </c>
      <c r="Q74" s="249">
        <f>Données!V74</f>
        <v>115755.75</v>
      </c>
      <c r="R74" s="236">
        <f t="shared" si="12"/>
        <v>306575.59999999998</v>
      </c>
      <c r="S74" s="253">
        <f t="shared" si="13"/>
        <v>-724851.53073973698</v>
      </c>
      <c r="T74" s="254">
        <f t="shared" si="17"/>
        <v>-418275.930739737</v>
      </c>
    </row>
    <row r="75" spans="1:20" x14ac:dyDescent="0.25">
      <c r="A75" s="111">
        <f>Données!A75</f>
        <v>5518</v>
      </c>
      <c r="B75" s="123" t="str">
        <f>Données!B75</f>
        <v>Echallens</v>
      </c>
      <c r="C75" s="252">
        <f>Données!C75</f>
        <v>6816</v>
      </c>
      <c r="D75" s="249">
        <f>RFS!W75</f>
        <v>14076697.403803628</v>
      </c>
      <c r="E75" s="265"/>
      <c r="F75" s="271">
        <f t="shared" si="9"/>
        <v>2065.2431637035838</v>
      </c>
      <c r="G75" s="265">
        <f t="shared" si="14"/>
        <v>-1397.4902676353186</v>
      </c>
      <c r="H75" s="272">
        <f t="shared" si="10"/>
        <v>-7620234.9313618662</v>
      </c>
      <c r="I75" s="244"/>
      <c r="J75" s="236">
        <f t="shared" si="15"/>
        <v>3183.2353778118386</v>
      </c>
      <c r="K75" s="265">
        <f t="shared" si="11"/>
        <v>0</v>
      </c>
      <c r="L75" s="272">
        <f t="shared" si="16"/>
        <v>0</v>
      </c>
      <c r="M75" s="265"/>
      <c r="N75" s="274">
        <f>Données!S75</f>
        <v>610753.75</v>
      </c>
      <c r="O75" s="274">
        <f>Données!T75</f>
        <v>30429.4</v>
      </c>
      <c r="P75" s="274">
        <f>Données!U75</f>
        <v>461961.15</v>
      </c>
      <c r="Q75" s="249">
        <f>Données!V75</f>
        <v>350836.7</v>
      </c>
      <c r="R75" s="236">
        <f t="shared" si="12"/>
        <v>656823.16</v>
      </c>
      <c r="S75" s="253">
        <f t="shared" si="13"/>
        <v>-1749500.0118704133</v>
      </c>
      <c r="T75" s="254">
        <f t="shared" si="17"/>
        <v>-1092676.8518704134</v>
      </c>
    </row>
    <row r="76" spans="1:20" x14ac:dyDescent="0.25">
      <c r="A76" s="111">
        <f>Données!A76</f>
        <v>5520</v>
      </c>
      <c r="B76" s="123" t="str">
        <f>Données!B76</f>
        <v>Essertines-sur-Yverdon</v>
      </c>
      <c r="C76" s="252">
        <f>Données!C76</f>
        <v>1183</v>
      </c>
      <c r="D76" s="249">
        <f>RFS!W76</f>
        <v>2535629.0035042278</v>
      </c>
      <c r="E76" s="265"/>
      <c r="F76" s="271">
        <f t="shared" si="9"/>
        <v>2143.3888448894572</v>
      </c>
      <c r="G76" s="265">
        <f t="shared" si="14"/>
        <v>-1319.3445864494452</v>
      </c>
      <c r="H76" s="272">
        <f t="shared" si="10"/>
        <v>-1248627.7166157551</v>
      </c>
      <c r="I76" s="244"/>
      <c r="J76" s="236">
        <f t="shared" si="15"/>
        <v>3198.8645140490135</v>
      </c>
      <c r="K76" s="265">
        <f t="shared" si="11"/>
        <v>0</v>
      </c>
      <c r="L76" s="272">
        <f t="shared" si="16"/>
        <v>0</v>
      </c>
      <c r="M76" s="265"/>
      <c r="N76" s="274">
        <f>Données!S76</f>
        <v>140377.1</v>
      </c>
      <c r="O76" s="274">
        <f>Données!T76</f>
        <v>12738.4</v>
      </c>
      <c r="P76" s="274">
        <f>Données!U76</f>
        <v>80895.899999999994</v>
      </c>
      <c r="Q76" s="249">
        <f>Données!V76</f>
        <v>16066.15</v>
      </c>
      <c r="R76" s="236">
        <f t="shared" si="12"/>
        <v>121825.545</v>
      </c>
      <c r="S76" s="253">
        <f t="shared" si="13"/>
        <v>-303647.08245931618</v>
      </c>
      <c r="T76" s="254">
        <f t="shared" si="17"/>
        <v>-181821.5374593162</v>
      </c>
    </row>
    <row r="77" spans="1:20" x14ac:dyDescent="0.25">
      <c r="A77" s="111">
        <f>Données!A77</f>
        <v>5521</v>
      </c>
      <c r="B77" s="123" t="str">
        <f>Données!B77</f>
        <v>Etagnières</v>
      </c>
      <c r="C77" s="252">
        <f>Données!C77</f>
        <v>1168</v>
      </c>
      <c r="D77" s="249">
        <f>RFS!W77</f>
        <v>2973501.2124215658</v>
      </c>
      <c r="E77" s="265"/>
      <c r="F77" s="271">
        <f t="shared" si="9"/>
        <v>2545.8058325527104</v>
      </c>
      <c r="G77" s="265">
        <f t="shared" si="14"/>
        <v>-916.92759878619199</v>
      </c>
      <c r="H77" s="272">
        <f t="shared" si="10"/>
        <v>-856777.14830581774</v>
      </c>
      <c r="I77" s="244"/>
      <c r="J77" s="236">
        <f t="shared" si="15"/>
        <v>3279.347911581664</v>
      </c>
      <c r="K77" s="265">
        <f t="shared" si="11"/>
        <v>0</v>
      </c>
      <c r="L77" s="272">
        <f t="shared" si="16"/>
        <v>0</v>
      </c>
      <c r="M77" s="265"/>
      <c r="N77" s="274">
        <f>Données!S77</f>
        <v>66023.600000000006</v>
      </c>
      <c r="O77" s="274">
        <f>Données!T77</f>
        <v>0</v>
      </c>
      <c r="P77" s="274">
        <f>Données!U77</f>
        <v>33749.85</v>
      </c>
      <c r="Q77" s="249">
        <f>Données!V77</f>
        <v>117657.7</v>
      </c>
      <c r="R77" s="236">
        <f t="shared" si="12"/>
        <v>85184.035000000003</v>
      </c>
      <c r="S77" s="253">
        <f t="shared" si="13"/>
        <v>-299796.95039093937</v>
      </c>
      <c r="T77" s="254">
        <f t="shared" si="17"/>
        <v>-214612.91539093936</v>
      </c>
    </row>
    <row r="78" spans="1:20" x14ac:dyDescent="0.25">
      <c r="A78" s="111">
        <f>Données!A78</f>
        <v>5522</v>
      </c>
      <c r="B78" s="123" t="str">
        <f>Données!B78</f>
        <v>Fey</v>
      </c>
      <c r="C78" s="252">
        <f>Données!C78</f>
        <v>791</v>
      </c>
      <c r="D78" s="249">
        <f>RFS!W78</f>
        <v>1656428.2403179184</v>
      </c>
      <c r="E78" s="265"/>
      <c r="F78" s="271">
        <f t="shared" si="9"/>
        <v>2094.0938562805541</v>
      </c>
      <c r="G78" s="265">
        <f t="shared" si="14"/>
        <v>-1368.6395750583483</v>
      </c>
      <c r="H78" s="272">
        <f t="shared" si="10"/>
        <v>-866075.12309692288</v>
      </c>
      <c r="I78" s="244"/>
      <c r="J78" s="236">
        <f t="shared" si="15"/>
        <v>3189.0055163272327</v>
      </c>
      <c r="K78" s="265">
        <f t="shared" si="11"/>
        <v>0</v>
      </c>
      <c r="L78" s="272">
        <f t="shared" si="16"/>
        <v>0</v>
      </c>
      <c r="M78" s="265"/>
      <c r="N78" s="274">
        <f>Données!S78</f>
        <v>74393.5</v>
      </c>
      <c r="O78" s="274">
        <f>Données!T78</f>
        <v>26.2</v>
      </c>
      <c r="P78" s="274">
        <f>Données!U78</f>
        <v>52986.25</v>
      </c>
      <c r="Q78" s="249">
        <f>Données!V78</f>
        <v>35588.449999999997</v>
      </c>
      <c r="R78" s="236">
        <f t="shared" si="12"/>
        <v>74379.509999999995</v>
      </c>
      <c r="S78" s="253">
        <f t="shared" si="13"/>
        <v>-203030.29773906938</v>
      </c>
      <c r="T78" s="254">
        <f t="shared" si="17"/>
        <v>-128650.78773906939</v>
      </c>
    </row>
    <row r="79" spans="1:20" x14ac:dyDescent="0.25">
      <c r="A79" s="111">
        <f>Données!A79</f>
        <v>5523</v>
      </c>
      <c r="B79" s="123" t="str">
        <f>Données!B79</f>
        <v>Froideville</v>
      </c>
      <c r="C79" s="252">
        <f>Données!C79</f>
        <v>2713</v>
      </c>
      <c r="D79" s="249">
        <f>RFS!W79</f>
        <v>6070028.491870719</v>
      </c>
      <c r="E79" s="265"/>
      <c r="F79" s="271">
        <f t="shared" si="9"/>
        <v>2237.3861009475559</v>
      </c>
      <c r="G79" s="265">
        <f t="shared" si="14"/>
        <v>-1225.3473303913465</v>
      </c>
      <c r="H79" s="272">
        <f t="shared" si="10"/>
        <v>-2659493.8458813787</v>
      </c>
      <c r="I79" s="244"/>
      <c r="J79" s="236">
        <f t="shared" si="15"/>
        <v>3217.6639652606332</v>
      </c>
      <c r="K79" s="265">
        <f t="shared" si="11"/>
        <v>0</v>
      </c>
      <c r="L79" s="272">
        <f t="shared" si="16"/>
        <v>0</v>
      </c>
      <c r="M79" s="265"/>
      <c r="N79" s="274">
        <f>Données!S79</f>
        <v>233924.15</v>
      </c>
      <c r="O79" s="274">
        <f>Données!T79</f>
        <v>0</v>
      </c>
      <c r="P79" s="274">
        <f>Données!U79</f>
        <v>82453</v>
      </c>
      <c r="Q79" s="249">
        <f>Données!V79</f>
        <v>3451.85</v>
      </c>
      <c r="R79" s="236">
        <f t="shared" si="12"/>
        <v>159224.13</v>
      </c>
      <c r="S79" s="253">
        <f t="shared" si="13"/>
        <v>-696360.55343374878</v>
      </c>
      <c r="T79" s="254">
        <f t="shared" si="17"/>
        <v>-537136.42343374877</v>
      </c>
    </row>
    <row r="80" spans="1:20" x14ac:dyDescent="0.25">
      <c r="A80" s="111">
        <f>Données!A80</f>
        <v>5527</v>
      </c>
      <c r="B80" s="123" t="str">
        <f>Données!B80</f>
        <v>Morrens</v>
      </c>
      <c r="C80" s="252">
        <f>Données!C80</f>
        <v>1145</v>
      </c>
      <c r="D80" s="249">
        <f>RFS!W80</f>
        <v>2977530.5715170149</v>
      </c>
      <c r="E80" s="265"/>
      <c r="F80" s="271">
        <f t="shared" si="9"/>
        <v>2600.4633812375678</v>
      </c>
      <c r="G80" s="265">
        <f t="shared" si="14"/>
        <v>-862.27005010133462</v>
      </c>
      <c r="H80" s="272">
        <f t="shared" si="10"/>
        <v>-789839.3658928225</v>
      </c>
      <c r="I80" s="244"/>
      <c r="J80" s="236">
        <f t="shared" si="15"/>
        <v>3290.2794213186353</v>
      </c>
      <c r="K80" s="265">
        <f t="shared" si="11"/>
        <v>0</v>
      </c>
      <c r="L80" s="272">
        <f t="shared" si="16"/>
        <v>0</v>
      </c>
      <c r="M80" s="265"/>
      <c r="N80" s="274">
        <f>Données!S80</f>
        <v>20411.650000000001</v>
      </c>
      <c r="O80" s="274">
        <f>Données!T80</f>
        <v>0</v>
      </c>
      <c r="P80" s="274">
        <f>Données!U80</f>
        <v>28666</v>
      </c>
      <c r="Q80" s="249">
        <f>Données!V80</f>
        <v>6635.45</v>
      </c>
      <c r="R80" s="236">
        <f t="shared" si="12"/>
        <v>26529.46</v>
      </c>
      <c r="S80" s="253">
        <f t="shared" si="13"/>
        <v>-293893.41455276165</v>
      </c>
      <c r="T80" s="254">
        <f t="shared" si="17"/>
        <v>-267363.95455276163</v>
      </c>
    </row>
    <row r="81" spans="1:20" x14ac:dyDescent="0.25">
      <c r="A81" s="111">
        <f>Données!A81</f>
        <v>5529</v>
      </c>
      <c r="B81" s="123" t="str">
        <f>Données!B81</f>
        <v>Oulens-sous-Echallens</v>
      </c>
      <c r="C81" s="252">
        <f>Données!C81</f>
        <v>609</v>
      </c>
      <c r="D81" s="249">
        <f>RFS!W81</f>
        <v>1532665.5092554034</v>
      </c>
      <c r="E81" s="265"/>
      <c r="F81" s="271">
        <f t="shared" si="9"/>
        <v>2516.6921334243079</v>
      </c>
      <c r="G81" s="265">
        <f t="shared" si="14"/>
        <v>-946.04129791459445</v>
      </c>
      <c r="H81" s="272">
        <f t="shared" si="10"/>
        <v>-460911.32034399046</v>
      </c>
      <c r="I81" s="244"/>
      <c r="J81" s="236">
        <f t="shared" si="15"/>
        <v>3273.5251717559836</v>
      </c>
      <c r="K81" s="265">
        <f t="shared" si="11"/>
        <v>0</v>
      </c>
      <c r="L81" s="272">
        <f t="shared" si="16"/>
        <v>0</v>
      </c>
      <c r="M81" s="265"/>
      <c r="N81" s="274">
        <f>Données!S81</f>
        <v>72776</v>
      </c>
      <c r="O81" s="274">
        <f>Données!T81</f>
        <v>0</v>
      </c>
      <c r="P81" s="274">
        <f>Données!U81</f>
        <v>128895.2</v>
      </c>
      <c r="Q81" s="249">
        <f>Données!V81</f>
        <v>2488.6999999999998</v>
      </c>
      <c r="R81" s="236">
        <f t="shared" si="12"/>
        <v>101582.21</v>
      </c>
      <c r="S81" s="253">
        <f t="shared" si="13"/>
        <v>-156315.36197609769</v>
      </c>
      <c r="T81" s="254">
        <f t="shared" si="17"/>
        <v>-54733.151976097681</v>
      </c>
    </row>
    <row r="82" spans="1:20" x14ac:dyDescent="0.25">
      <c r="A82" s="111">
        <f>Données!A82</f>
        <v>5530</v>
      </c>
      <c r="B82" s="123" t="str">
        <f>Données!B82</f>
        <v>Pailly</v>
      </c>
      <c r="C82" s="252">
        <f>Données!C82</f>
        <v>575</v>
      </c>
      <c r="D82" s="249">
        <f>RFS!W82</f>
        <v>1353604.5813687847</v>
      </c>
      <c r="E82" s="265"/>
      <c r="F82" s="271">
        <f t="shared" si="9"/>
        <v>2354.0949241196254</v>
      </c>
      <c r="G82" s="265">
        <f t="shared" si="14"/>
        <v>-1108.638507219277</v>
      </c>
      <c r="H82" s="272">
        <f t="shared" si="10"/>
        <v>-509973.71332086745</v>
      </c>
      <c r="I82" s="244"/>
      <c r="J82" s="236">
        <f t="shared" si="15"/>
        <v>3241.0057298950469</v>
      </c>
      <c r="K82" s="265">
        <f t="shared" si="11"/>
        <v>0</v>
      </c>
      <c r="L82" s="272">
        <f t="shared" si="16"/>
        <v>0</v>
      </c>
      <c r="M82" s="265"/>
      <c r="N82" s="274">
        <f>Données!S82</f>
        <v>60296.1</v>
      </c>
      <c r="O82" s="274">
        <f>Données!T82</f>
        <v>3370.9</v>
      </c>
      <c r="P82" s="274">
        <f>Données!U82</f>
        <v>59333.2</v>
      </c>
      <c r="Q82" s="249">
        <f>Données!V82</f>
        <v>16415.55</v>
      </c>
      <c r="R82" s="236">
        <f t="shared" si="12"/>
        <v>66424.764999999999</v>
      </c>
      <c r="S82" s="253">
        <f t="shared" si="13"/>
        <v>-147588.39595444361</v>
      </c>
      <c r="T82" s="254">
        <f t="shared" si="17"/>
        <v>-81163.630954443608</v>
      </c>
    </row>
    <row r="83" spans="1:20" x14ac:dyDescent="0.25">
      <c r="A83" s="111">
        <f>Données!A83</f>
        <v>5531</v>
      </c>
      <c r="B83" s="123" t="str">
        <f>Données!B83</f>
        <v>Penthéréaz</v>
      </c>
      <c r="C83" s="252">
        <f>Données!C83</f>
        <v>446</v>
      </c>
      <c r="D83" s="249">
        <f>RFS!W83</f>
        <v>480929.32706257759</v>
      </c>
      <c r="E83" s="265"/>
      <c r="F83" s="271">
        <f t="shared" si="9"/>
        <v>1078.316876821923</v>
      </c>
      <c r="G83" s="265">
        <f t="shared" si="14"/>
        <v>-2384.4165545169794</v>
      </c>
      <c r="H83" s="272">
        <f t="shared" si="10"/>
        <v>-850759.82665165828</v>
      </c>
      <c r="I83" s="244"/>
      <c r="J83" s="236">
        <f t="shared" si="15"/>
        <v>2985.8501204355066</v>
      </c>
      <c r="K83" s="265">
        <f t="shared" si="11"/>
        <v>-130.6099677695056</v>
      </c>
      <c r="L83" s="272">
        <f t="shared" si="16"/>
        <v>-58252</v>
      </c>
      <c r="M83" s="265"/>
      <c r="N83" s="274">
        <f>Données!S83</f>
        <v>60444</v>
      </c>
      <c r="O83" s="274">
        <f>Données!T83</f>
        <v>0</v>
      </c>
      <c r="P83" s="274">
        <f>Données!U83</f>
        <v>46244.7</v>
      </c>
      <c r="Q83" s="249">
        <f>Données!V83</f>
        <v>13583.5</v>
      </c>
      <c r="R83" s="236">
        <f t="shared" si="12"/>
        <v>57419.4</v>
      </c>
      <c r="S83" s="253">
        <f t="shared" si="13"/>
        <v>-114477.26016640323</v>
      </c>
      <c r="T83" s="254">
        <f t="shared" si="17"/>
        <v>-57057.860166403225</v>
      </c>
    </row>
    <row r="84" spans="1:20" x14ac:dyDescent="0.25">
      <c r="A84" s="111">
        <f>Données!A84</f>
        <v>5533</v>
      </c>
      <c r="B84" s="123" t="str">
        <f>Données!B84</f>
        <v>Poliez-Pittet</v>
      </c>
      <c r="C84" s="252">
        <f>Données!C84</f>
        <v>847</v>
      </c>
      <c r="D84" s="249">
        <f>RFS!W84</f>
        <v>2198444.9890787574</v>
      </c>
      <c r="E84" s="265"/>
      <c r="F84" s="271">
        <f t="shared" si="9"/>
        <v>2595.5666931272222</v>
      </c>
      <c r="G84" s="265">
        <f t="shared" si="14"/>
        <v>-867.16673821168024</v>
      </c>
      <c r="H84" s="272">
        <f t="shared" si="10"/>
        <v>-587592.18181223457</v>
      </c>
      <c r="I84" s="244"/>
      <c r="J84" s="236">
        <f t="shared" si="15"/>
        <v>3289.3000836965666</v>
      </c>
      <c r="K84" s="265">
        <f t="shared" si="11"/>
        <v>0</v>
      </c>
      <c r="L84" s="272">
        <f t="shared" si="16"/>
        <v>0</v>
      </c>
      <c r="M84" s="265"/>
      <c r="N84" s="274">
        <f>Données!S84</f>
        <v>130729.7</v>
      </c>
      <c r="O84" s="274">
        <f>Données!T84</f>
        <v>135</v>
      </c>
      <c r="P84" s="274">
        <f>Données!U84</f>
        <v>109006.6</v>
      </c>
      <c r="Q84" s="249">
        <f>Données!V84</f>
        <v>28726.05</v>
      </c>
      <c r="R84" s="236">
        <f t="shared" si="12"/>
        <v>128553.465</v>
      </c>
      <c r="S84" s="253">
        <f t="shared" si="13"/>
        <v>-217404.12412767607</v>
      </c>
      <c r="T84" s="254">
        <f t="shared" si="17"/>
        <v>-88850.659127676074</v>
      </c>
    </row>
    <row r="85" spans="1:20" x14ac:dyDescent="0.25">
      <c r="A85" s="111">
        <f>Données!A85</f>
        <v>5534</v>
      </c>
      <c r="B85" s="123" t="str">
        <f>Données!B85</f>
        <v>Rueyres</v>
      </c>
      <c r="C85" s="252">
        <f>Données!C85</f>
        <v>302</v>
      </c>
      <c r="D85" s="249">
        <f>RFS!W85</f>
        <v>833484.40730203141</v>
      </c>
      <c r="E85" s="265"/>
      <c r="F85" s="271">
        <f t="shared" si="9"/>
        <v>2759.8821433842099</v>
      </c>
      <c r="G85" s="265">
        <f t="shared" si="14"/>
        <v>-702.85128795469245</v>
      </c>
      <c r="H85" s="272">
        <f t="shared" si="10"/>
        <v>-169808.87116985369</v>
      </c>
      <c r="I85" s="244"/>
      <c r="J85" s="236">
        <f t="shared" si="15"/>
        <v>3322.1631737479638</v>
      </c>
      <c r="K85" s="265">
        <f t="shared" si="11"/>
        <v>0</v>
      </c>
      <c r="L85" s="272">
        <f t="shared" si="16"/>
        <v>0</v>
      </c>
      <c r="M85" s="265"/>
      <c r="N85" s="274">
        <f>Données!S85</f>
        <v>15103.15</v>
      </c>
      <c r="O85" s="274">
        <f>Données!T85</f>
        <v>0</v>
      </c>
      <c r="P85" s="274">
        <f>Données!U85</f>
        <v>21385.599999999999</v>
      </c>
      <c r="Q85" s="249">
        <f>Données!V85</f>
        <v>25162.05</v>
      </c>
      <c r="R85" s="236">
        <f t="shared" si="12"/>
        <v>25792.989999999998</v>
      </c>
      <c r="S85" s="253">
        <f t="shared" si="13"/>
        <v>-77515.992309986046</v>
      </c>
      <c r="T85" s="254">
        <f t="shared" si="17"/>
        <v>-51723.002309986048</v>
      </c>
    </row>
    <row r="86" spans="1:20" x14ac:dyDescent="0.25">
      <c r="A86" s="111">
        <f>Données!A86</f>
        <v>5535</v>
      </c>
      <c r="B86" s="123" t="str">
        <f>Données!B86</f>
        <v>Saint-Barthélemy</v>
      </c>
      <c r="C86" s="252">
        <f>Données!C86</f>
        <v>838</v>
      </c>
      <c r="D86" s="249">
        <f>RFS!W86</f>
        <v>1762201.6715631101</v>
      </c>
      <c r="E86" s="265"/>
      <c r="F86" s="271">
        <f t="shared" si="9"/>
        <v>2102.8659565192243</v>
      </c>
      <c r="G86" s="265">
        <f t="shared" si="14"/>
        <v>-1359.8674748196781</v>
      </c>
      <c r="H86" s="272">
        <f t="shared" si="10"/>
        <v>-911655.15511911234</v>
      </c>
      <c r="I86" s="244"/>
      <c r="J86" s="236">
        <f t="shared" si="15"/>
        <v>3190.7599363749673</v>
      </c>
      <c r="K86" s="265">
        <f t="shared" si="11"/>
        <v>0</v>
      </c>
      <c r="L86" s="272">
        <f t="shared" si="16"/>
        <v>0</v>
      </c>
      <c r="M86" s="265"/>
      <c r="N86" s="274">
        <f>Données!S86</f>
        <v>147630.20000000001</v>
      </c>
      <c r="O86" s="274">
        <f>Données!T86</f>
        <v>0</v>
      </c>
      <c r="P86" s="274">
        <f>Données!U86</f>
        <v>91236.6</v>
      </c>
      <c r="Q86" s="249">
        <f>Données!V86</f>
        <v>66337.25</v>
      </c>
      <c r="R86" s="236">
        <f t="shared" si="12"/>
        <v>139334.57500000001</v>
      </c>
      <c r="S86" s="253">
        <f t="shared" si="13"/>
        <v>-215094.04488664999</v>
      </c>
      <c r="T86" s="254">
        <f t="shared" si="17"/>
        <v>-75759.469886649982</v>
      </c>
    </row>
    <row r="87" spans="1:20" x14ac:dyDescent="0.25">
      <c r="A87" s="111">
        <f>Données!A87</f>
        <v>5537</v>
      </c>
      <c r="B87" s="123" t="str">
        <f>Données!B87</f>
        <v>Villars-le-Terroir</v>
      </c>
      <c r="C87" s="252">
        <f>Données!C87</f>
        <v>1334</v>
      </c>
      <c r="D87" s="249">
        <f>RFS!W87</f>
        <v>2774754.5893645221</v>
      </c>
      <c r="E87" s="265"/>
      <c r="F87" s="271">
        <f t="shared" si="9"/>
        <v>2080.0259290588619</v>
      </c>
      <c r="G87" s="265">
        <f t="shared" si="14"/>
        <v>-1382.7075022800404</v>
      </c>
      <c r="H87" s="272">
        <f t="shared" si="10"/>
        <v>-1475625.4464332594</v>
      </c>
      <c r="I87" s="244"/>
      <c r="J87" s="236">
        <f t="shared" si="15"/>
        <v>3186.1919308828947</v>
      </c>
      <c r="K87" s="265">
        <f t="shared" si="11"/>
        <v>0</v>
      </c>
      <c r="L87" s="272">
        <f t="shared" si="16"/>
        <v>0</v>
      </c>
      <c r="M87" s="265"/>
      <c r="N87" s="274">
        <f>Données!S87</f>
        <v>107565</v>
      </c>
      <c r="O87" s="274">
        <f>Données!T87</f>
        <v>14485.3</v>
      </c>
      <c r="P87" s="274">
        <f>Données!U87</f>
        <v>103597.4</v>
      </c>
      <c r="Q87" s="249">
        <f>Données!V87</f>
        <v>11286.3</v>
      </c>
      <c r="R87" s="236">
        <f t="shared" si="12"/>
        <v>116209.74</v>
      </c>
      <c r="S87" s="253">
        <f t="shared" si="13"/>
        <v>-342405.0786143092</v>
      </c>
      <c r="T87" s="254">
        <f t="shared" si="17"/>
        <v>-226195.33861430921</v>
      </c>
    </row>
    <row r="88" spans="1:20" x14ac:dyDescent="0.25">
      <c r="A88" s="111">
        <f>Données!A88</f>
        <v>5539</v>
      </c>
      <c r="B88" s="123" t="str">
        <f>Données!B88</f>
        <v>Vuarrens</v>
      </c>
      <c r="C88" s="252">
        <f>Données!C88</f>
        <v>1113</v>
      </c>
      <c r="D88" s="249">
        <f>RFS!W88</f>
        <v>2554023.2449894506</v>
      </c>
      <c r="E88" s="265"/>
      <c r="F88" s="271">
        <f t="shared" si="9"/>
        <v>2294.7198966661731</v>
      </c>
      <c r="G88" s="265">
        <f t="shared" si="14"/>
        <v>-1168.0135346727293</v>
      </c>
      <c r="H88" s="272">
        <f t="shared" si="10"/>
        <v>-1039999.2512725982</v>
      </c>
      <c r="I88" s="244"/>
      <c r="J88" s="236">
        <f t="shared" si="15"/>
        <v>3229.1307244043564</v>
      </c>
      <c r="K88" s="265">
        <f t="shared" si="11"/>
        <v>0</v>
      </c>
      <c r="L88" s="272">
        <f t="shared" si="16"/>
        <v>0</v>
      </c>
      <c r="M88" s="265"/>
      <c r="N88" s="274">
        <f>Données!S88</f>
        <v>126268.15</v>
      </c>
      <c r="O88" s="274">
        <f>Données!T88</f>
        <v>0</v>
      </c>
      <c r="P88" s="274">
        <f>Données!U88</f>
        <v>77291.8</v>
      </c>
      <c r="Q88" s="249">
        <f>Données!V88</f>
        <v>28846.45</v>
      </c>
      <c r="R88" s="236">
        <f t="shared" si="12"/>
        <v>110433.91</v>
      </c>
      <c r="S88" s="253">
        <f t="shared" si="13"/>
        <v>-285679.7994735578</v>
      </c>
      <c r="T88" s="254">
        <f t="shared" si="17"/>
        <v>-175245.88947355779</v>
      </c>
    </row>
    <row r="89" spans="1:20" x14ac:dyDescent="0.25">
      <c r="A89" s="111">
        <f>Données!A89</f>
        <v>5540</v>
      </c>
      <c r="B89" s="123" t="str">
        <f>Données!B89</f>
        <v>Montilliez</v>
      </c>
      <c r="C89" s="252">
        <f>Données!C89</f>
        <v>1856</v>
      </c>
      <c r="D89" s="249">
        <f>RFS!W89</f>
        <v>4448773.1665887581</v>
      </c>
      <c r="E89" s="265"/>
      <c r="F89" s="271">
        <f t="shared" si="9"/>
        <v>2396.9683009637706</v>
      </c>
      <c r="G89" s="265">
        <f t="shared" si="14"/>
        <v>-1065.7651303751318</v>
      </c>
      <c r="H89" s="272">
        <f t="shared" si="10"/>
        <v>-1582448.0655809958</v>
      </c>
      <c r="I89" s="244"/>
      <c r="J89" s="236">
        <f t="shared" si="15"/>
        <v>3249.5804052638759</v>
      </c>
      <c r="K89" s="265">
        <f t="shared" si="11"/>
        <v>0</v>
      </c>
      <c r="L89" s="272">
        <f t="shared" si="16"/>
        <v>0</v>
      </c>
      <c r="M89" s="265"/>
      <c r="N89" s="274">
        <f>Données!S89</f>
        <v>197730.45</v>
      </c>
      <c r="O89" s="274">
        <f>Données!T89</f>
        <v>0</v>
      </c>
      <c r="P89" s="274">
        <f>Données!U89</f>
        <v>172210.95</v>
      </c>
      <c r="Q89" s="249">
        <f>Données!V89</f>
        <v>19515</v>
      </c>
      <c r="R89" s="236">
        <f t="shared" si="12"/>
        <v>190825.2</v>
      </c>
      <c r="S89" s="253">
        <f t="shared" si="13"/>
        <v>-476389.67459382152</v>
      </c>
      <c r="T89" s="254">
        <f t="shared" si="17"/>
        <v>-285564.47459382151</v>
      </c>
    </row>
    <row r="90" spans="1:20" x14ac:dyDescent="0.25">
      <c r="A90" s="111">
        <f>Données!A90</f>
        <v>5541</v>
      </c>
      <c r="B90" s="123" t="str">
        <f>Données!B90</f>
        <v>Goumoëns</v>
      </c>
      <c r="C90" s="252">
        <f>Données!C90</f>
        <v>1251</v>
      </c>
      <c r="D90" s="249">
        <f>RFS!W90</f>
        <v>2784580.1233739974</v>
      </c>
      <c r="E90" s="265"/>
      <c r="F90" s="271">
        <f t="shared" si="9"/>
        <v>2225.8833919856093</v>
      </c>
      <c r="G90" s="265">
        <f t="shared" si="14"/>
        <v>-1236.8500393532931</v>
      </c>
      <c r="H90" s="272">
        <f t="shared" si="10"/>
        <v>-1237839.5193847758</v>
      </c>
      <c r="I90" s="244"/>
      <c r="J90" s="236">
        <f t="shared" si="15"/>
        <v>3215.363423468244</v>
      </c>
      <c r="K90" s="265">
        <f t="shared" si="11"/>
        <v>0</v>
      </c>
      <c r="L90" s="272">
        <f t="shared" si="16"/>
        <v>0</v>
      </c>
      <c r="M90" s="265"/>
      <c r="N90" s="274">
        <f>Données!S90</f>
        <v>66636.05</v>
      </c>
      <c r="O90" s="274">
        <f>Données!T90</f>
        <v>129994.6</v>
      </c>
      <c r="P90" s="274">
        <f>Données!U90</f>
        <v>39896.300000000003</v>
      </c>
      <c r="Q90" s="249">
        <f>Données!V90</f>
        <v>17346.599999999999</v>
      </c>
      <c r="R90" s="236">
        <f t="shared" si="12"/>
        <v>123467.455</v>
      </c>
      <c r="S90" s="253">
        <f t="shared" si="13"/>
        <v>-321101.01450262428</v>
      </c>
      <c r="T90" s="254">
        <f t="shared" si="17"/>
        <v>-197633.55950262427</v>
      </c>
    </row>
    <row r="91" spans="1:20" x14ac:dyDescent="0.25">
      <c r="A91" s="111">
        <f>Données!A91</f>
        <v>5551</v>
      </c>
      <c r="B91" s="123" t="str">
        <f>Données!B91</f>
        <v>Bonvillars</v>
      </c>
      <c r="C91" s="252">
        <f>Données!C91</f>
        <v>517</v>
      </c>
      <c r="D91" s="249">
        <f>RFS!W91</f>
        <v>1476574.3276397798</v>
      </c>
      <c r="E91" s="265"/>
      <c r="F91" s="271">
        <f t="shared" si="9"/>
        <v>2856.0431869241388</v>
      </c>
      <c r="G91" s="265">
        <f t="shared" si="14"/>
        <v>-606.69024441476358</v>
      </c>
      <c r="H91" s="272">
        <f t="shared" si="10"/>
        <v>-250927.08508994622</v>
      </c>
      <c r="I91" s="244"/>
      <c r="J91" s="236">
        <f t="shared" si="15"/>
        <v>3341.3953824559494</v>
      </c>
      <c r="K91" s="265">
        <f t="shared" si="11"/>
        <v>0</v>
      </c>
      <c r="L91" s="272">
        <f t="shared" si="16"/>
        <v>0</v>
      </c>
      <c r="M91" s="265"/>
      <c r="N91" s="274">
        <f>Données!S91</f>
        <v>333140.59999999998</v>
      </c>
      <c r="O91" s="274">
        <f>Données!T91</f>
        <v>220888.7</v>
      </c>
      <c r="P91" s="274">
        <f>Données!U91</f>
        <v>25024.55</v>
      </c>
      <c r="Q91" s="249">
        <f>Données!V91</f>
        <v>8203</v>
      </c>
      <c r="R91" s="236">
        <f t="shared" si="12"/>
        <v>291987.82500000007</v>
      </c>
      <c r="S91" s="253">
        <f t="shared" si="13"/>
        <v>-132701.2186233867</v>
      </c>
      <c r="T91" s="254">
        <f t="shared" si="17"/>
        <v>159286.60637661337</v>
      </c>
    </row>
    <row r="92" spans="1:20" x14ac:dyDescent="0.25">
      <c r="A92" s="111">
        <f>Données!A92</f>
        <v>5552</v>
      </c>
      <c r="B92" s="123" t="str">
        <f>Données!B92</f>
        <v>Bullet</v>
      </c>
      <c r="C92" s="252">
        <f>Données!C92</f>
        <v>687</v>
      </c>
      <c r="D92" s="249">
        <f>RFS!W92</f>
        <v>1382602.3833056309</v>
      </c>
      <c r="E92" s="265"/>
      <c r="F92" s="271">
        <f t="shared" si="9"/>
        <v>2012.5216642003361</v>
      </c>
      <c r="G92" s="265">
        <f t="shared" si="14"/>
        <v>-1450.2117671385663</v>
      </c>
      <c r="H92" s="272">
        <f t="shared" si="10"/>
        <v>-797036.38721935614</v>
      </c>
      <c r="I92" s="244"/>
      <c r="J92" s="236">
        <f t="shared" si="15"/>
        <v>3172.691077911189</v>
      </c>
      <c r="K92" s="265">
        <f t="shared" si="11"/>
        <v>0</v>
      </c>
      <c r="L92" s="272">
        <f t="shared" si="16"/>
        <v>0</v>
      </c>
      <c r="M92" s="265"/>
      <c r="N92" s="274">
        <f>Données!S92</f>
        <v>88919.05</v>
      </c>
      <c r="O92" s="274">
        <f>Données!T92</f>
        <v>101371.6</v>
      </c>
      <c r="P92" s="274">
        <f>Données!U92</f>
        <v>75957.45</v>
      </c>
      <c r="Q92" s="249">
        <f>Données!V92</f>
        <v>101538.95</v>
      </c>
      <c r="R92" s="236">
        <f t="shared" si="12"/>
        <v>163585.73500000002</v>
      </c>
      <c r="S92" s="253">
        <f t="shared" si="13"/>
        <v>-176336.04873165698</v>
      </c>
      <c r="T92" s="254">
        <f t="shared" si="17"/>
        <v>-12750.313731656963</v>
      </c>
    </row>
    <row r="93" spans="1:20" x14ac:dyDescent="0.25">
      <c r="A93" s="111">
        <f>Données!A93</f>
        <v>5553</v>
      </c>
      <c r="B93" s="123" t="str">
        <f>Données!B93</f>
        <v>Champagne</v>
      </c>
      <c r="C93" s="252">
        <f>Données!C93</f>
        <v>1087</v>
      </c>
      <c r="D93" s="249">
        <f>RFS!W93</f>
        <v>2921806.8353349194</v>
      </c>
      <c r="E93" s="265"/>
      <c r="F93" s="271">
        <f t="shared" si="9"/>
        <v>2687.954770317313</v>
      </c>
      <c r="G93" s="265">
        <f t="shared" si="14"/>
        <v>-774.77866102158941</v>
      </c>
      <c r="H93" s="272">
        <f t="shared" si="10"/>
        <v>-673747.52362437418</v>
      </c>
      <c r="I93" s="244"/>
      <c r="J93" s="236">
        <f t="shared" si="15"/>
        <v>3307.7776991345845</v>
      </c>
      <c r="K93" s="265">
        <f t="shared" si="11"/>
        <v>0</v>
      </c>
      <c r="L93" s="272">
        <f t="shared" si="16"/>
        <v>0</v>
      </c>
      <c r="M93" s="265"/>
      <c r="N93" s="274">
        <f>Données!S93</f>
        <v>36049.300000000003</v>
      </c>
      <c r="O93" s="274">
        <f>Données!T93</f>
        <v>0</v>
      </c>
      <c r="P93" s="274">
        <f>Données!U93</f>
        <v>25029.200000000001</v>
      </c>
      <c r="Q93" s="249">
        <f>Données!V93</f>
        <v>257661.75</v>
      </c>
      <c r="R93" s="236">
        <f t="shared" si="12"/>
        <v>107837.77499999999</v>
      </c>
      <c r="S93" s="253">
        <f t="shared" si="13"/>
        <v>-279006.23722170474</v>
      </c>
      <c r="T93" s="254">
        <f t="shared" si="17"/>
        <v>-171168.46222170474</v>
      </c>
    </row>
    <row r="94" spans="1:20" x14ac:dyDescent="0.25">
      <c r="A94" s="111">
        <f>Données!A94</f>
        <v>5554</v>
      </c>
      <c r="B94" s="123" t="str">
        <f>Données!B94</f>
        <v>Concise</v>
      </c>
      <c r="C94" s="252">
        <f>Données!C94</f>
        <v>1035</v>
      </c>
      <c r="D94" s="249">
        <f>RFS!W94</f>
        <v>2334434.5028885724</v>
      </c>
      <c r="E94" s="265"/>
      <c r="F94" s="271">
        <f t="shared" si="9"/>
        <v>2255.492273322292</v>
      </c>
      <c r="G94" s="265">
        <f t="shared" si="14"/>
        <v>-1207.2411580166104</v>
      </c>
      <c r="H94" s="272">
        <f t="shared" si="10"/>
        <v>-999595.67883775348</v>
      </c>
      <c r="I94" s="244"/>
      <c r="J94" s="236">
        <f t="shared" si="15"/>
        <v>3221.2851997355806</v>
      </c>
      <c r="K94" s="265">
        <f t="shared" si="11"/>
        <v>0</v>
      </c>
      <c r="L94" s="272">
        <f t="shared" si="16"/>
        <v>0</v>
      </c>
      <c r="M94" s="265"/>
      <c r="N94" s="274">
        <f>Données!S94</f>
        <v>166660.35</v>
      </c>
      <c r="O94" s="274">
        <f>Données!T94</f>
        <v>4771.6000000000004</v>
      </c>
      <c r="P94" s="274">
        <f>Données!U94</f>
        <v>116899.6</v>
      </c>
      <c r="Q94" s="249">
        <f>Données!V94</f>
        <v>44698.85</v>
      </c>
      <c r="R94" s="236">
        <f t="shared" si="12"/>
        <v>157575.43000000002</v>
      </c>
      <c r="S94" s="253">
        <f t="shared" si="13"/>
        <v>-265659.11271799851</v>
      </c>
      <c r="T94" s="254">
        <f t="shared" si="17"/>
        <v>-108083.68271799848</v>
      </c>
    </row>
    <row r="95" spans="1:20" x14ac:dyDescent="0.25">
      <c r="A95" s="111">
        <f>Données!A95</f>
        <v>5555</v>
      </c>
      <c r="B95" s="123" t="str">
        <f>Données!B95</f>
        <v>Corcelles-près-Concise</v>
      </c>
      <c r="C95" s="252">
        <f>Données!C95</f>
        <v>439</v>
      </c>
      <c r="D95" s="249">
        <f>RFS!W95</f>
        <v>1051705.6005020565</v>
      </c>
      <c r="E95" s="265"/>
      <c r="F95" s="271">
        <f t="shared" si="9"/>
        <v>2395.6847391846391</v>
      </c>
      <c r="G95" s="265">
        <f t="shared" si="14"/>
        <v>-1067.0486921542633</v>
      </c>
      <c r="H95" s="272">
        <f t="shared" si="10"/>
        <v>-374747.50068457733</v>
      </c>
      <c r="I95" s="244"/>
      <c r="J95" s="236">
        <f t="shared" si="15"/>
        <v>3249.3236929080495</v>
      </c>
      <c r="K95" s="265">
        <f t="shared" si="11"/>
        <v>0</v>
      </c>
      <c r="L95" s="272">
        <f t="shared" si="16"/>
        <v>0</v>
      </c>
      <c r="M95" s="265"/>
      <c r="N95" s="274">
        <f>Données!S95</f>
        <v>8421.5</v>
      </c>
      <c r="O95" s="274">
        <f>Données!T95</f>
        <v>14749.5</v>
      </c>
      <c r="P95" s="274">
        <f>Données!U95</f>
        <v>24339.1</v>
      </c>
      <c r="Q95" s="249">
        <f>Données!V95</f>
        <v>7296.7</v>
      </c>
      <c r="R95" s="236">
        <f t="shared" si="12"/>
        <v>25944.059999999998</v>
      </c>
      <c r="S95" s="253">
        <f t="shared" si="13"/>
        <v>-112680.53186782739</v>
      </c>
      <c r="T95" s="254">
        <f t="shared" si="17"/>
        <v>-86736.471867827393</v>
      </c>
    </row>
    <row r="96" spans="1:20" x14ac:dyDescent="0.25">
      <c r="A96" s="111">
        <f>Données!A96</f>
        <v>5556</v>
      </c>
      <c r="B96" s="123" t="str">
        <f>Données!B96</f>
        <v>Fiez</v>
      </c>
      <c r="C96" s="252">
        <f>Données!C96</f>
        <v>421</v>
      </c>
      <c r="D96" s="249">
        <f>RFS!W96</f>
        <v>966950.13144507271</v>
      </c>
      <c r="E96" s="265"/>
      <c r="F96" s="271">
        <f t="shared" si="9"/>
        <v>2296.7936613897214</v>
      </c>
      <c r="G96" s="265">
        <f t="shared" si="14"/>
        <v>-1165.939769949181</v>
      </c>
      <c r="H96" s="272">
        <f t="shared" si="10"/>
        <v>-392688.51451888419</v>
      </c>
      <c r="I96" s="244"/>
      <c r="J96" s="236">
        <f t="shared" si="15"/>
        <v>3229.545477349066</v>
      </c>
      <c r="K96" s="265">
        <f t="shared" si="11"/>
        <v>0</v>
      </c>
      <c r="L96" s="272">
        <f t="shared" si="16"/>
        <v>0</v>
      </c>
      <c r="M96" s="265"/>
      <c r="N96" s="274">
        <f>Données!S96</f>
        <v>21285</v>
      </c>
      <c r="O96" s="274">
        <f>Données!T96</f>
        <v>0</v>
      </c>
      <c r="P96" s="274">
        <f>Données!U96</f>
        <v>24293.15</v>
      </c>
      <c r="Q96" s="249">
        <f>Données!V96</f>
        <v>0</v>
      </c>
      <c r="R96" s="236">
        <f t="shared" si="12"/>
        <v>22789.075000000001</v>
      </c>
      <c r="S96" s="253">
        <f t="shared" si="13"/>
        <v>-108060.37338577524</v>
      </c>
      <c r="T96" s="254">
        <f t="shared" si="17"/>
        <v>-85271.298385775241</v>
      </c>
    </row>
    <row r="97" spans="1:20" x14ac:dyDescent="0.25">
      <c r="A97" s="111">
        <f>Données!A97</f>
        <v>5557</v>
      </c>
      <c r="B97" s="123" t="str">
        <f>Données!B97</f>
        <v>Fontaines-sur-Grandson</v>
      </c>
      <c r="C97" s="252">
        <f>Données!C97</f>
        <v>228</v>
      </c>
      <c r="D97" s="249">
        <f>RFS!W97</f>
        <v>430310.31077857211</v>
      </c>
      <c r="E97" s="265"/>
      <c r="F97" s="271">
        <f t="shared" si="9"/>
        <v>1887.3259244674216</v>
      </c>
      <c r="G97" s="265">
        <f t="shared" si="14"/>
        <v>-1575.4075068714808</v>
      </c>
      <c r="H97" s="272">
        <f t="shared" si="10"/>
        <v>-287354.32925335813</v>
      </c>
      <c r="I97" s="244"/>
      <c r="J97" s="236">
        <f t="shared" si="15"/>
        <v>3147.6519299646066</v>
      </c>
      <c r="K97" s="265">
        <f t="shared" si="11"/>
        <v>0</v>
      </c>
      <c r="L97" s="272">
        <f t="shared" si="16"/>
        <v>0</v>
      </c>
      <c r="M97" s="265"/>
      <c r="N97" s="274">
        <f>Données!S97</f>
        <v>314.14999999999998</v>
      </c>
      <c r="O97" s="274">
        <f>Données!T97</f>
        <v>9309.2999999999993</v>
      </c>
      <c r="P97" s="274">
        <f>Données!U97</f>
        <v>0</v>
      </c>
      <c r="Q97" s="249">
        <f>Données!V97</f>
        <v>0</v>
      </c>
      <c r="R97" s="236">
        <f t="shared" si="12"/>
        <v>4811.7249999999995</v>
      </c>
      <c r="S97" s="253">
        <f t="shared" si="13"/>
        <v>-58522.007439327208</v>
      </c>
      <c r="T97" s="254">
        <f t="shared" si="17"/>
        <v>-53710.282439327209</v>
      </c>
    </row>
    <row r="98" spans="1:20" x14ac:dyDescent="0.25">
      <c r="A98" s="111">
        <f>Données!A98</f>
        <v>5559</v>
      </c>
      <c r="B98" s="123" t="str">
        <f>Données!B98</f>
        <v>Giez</v>
      </c>
      <c r="C98" s="252">
        <f>Données!C98</f>
        <v>464</v>
      </c>
      <c r="D98" s="249">
        <f>RFS!W98</f>
        <v>1584031.8799249777</v>
      </c>
      <c r="E98" s="265"/>
      <c r="F98" s="271">
        <f t="shared" si="9"/>
        <v>3413.8618101831416</v>
      </c>
      <c r="G98" s="265">
        <f t="shared" si="14"/>
        <v>-48.871621155760749</v>
      </c>
      <c r="H98" s="272">
        <f t="shared" si="10"/>
        <v>-18141.14577301839</v>
      </c>
      <c r="I98" s="244"/>
      <c r="J98" s="236">
        <f t="shared" si="15"/>
        <v>3452.9591071077502</v>
      </c>
      <c r="K98" s="265">
        <f t="shared" si="11"/>
        <v>0</v>
      </c>
      <c r="L98" s="272">
        <f t="shared" si="16"/>
        <v>0</v>
      </c>
      <c r="M98" s="265"/>
      <c r="N98" s="274">
        <f>Données!S98</f>
        <v>63143.8</v>
      </c>
      <c r="O98" s="274">
        <f>Données!T98</f>
        <v>0</v>
      </c>
      <c r="P98" s="274">
        <f>Données!U98</f>
        <v>79161.05</v>
      </c>
      <c r="Q98" s="249">
        <f>Données!V98</f>
        <v>8629.7999999999993</v>
      </c>
      <c r="R98" s="236">
        <f t="shared" si="12"/>
        <v>73741.365000000005</v>
      </c>
      <c r="S98" s="253">
        <f t="shared" si="13"/>
        <v>-119097.41864845538</v>
      </c>
      <c r="T98" s="254">
        <f t="shared" si="17"/>
        <v>-45356.053648455374</v>
      </c>
    </row>
    <row r="99" spans="1:20" x14ac:dyDescent="0.25">
      <c r="A99" s="111">
        <f>Données!A99</f>
        <v>5560</v>
      </c>
      <c r="B99" s="123" t="str">
        <f>Données!B99</f>
        <v>Grandevent</v>
      </c>
      <c r="C99" s="252">
        <f>Données!C99</f>
        <v>241</v>
      </c>
      <c r="D99" s="249">
        <f>RFS!W99</f>
        <v>454444.57788459648</v>
      </c>
      <c r="E99" s="265"/>
      <c r="F99" s="271">
        <f t="shared" si="9"/>
        <v>1885.6621488987405</v>
      </c>
      <c r="G99" s="265">
        <f t="shared" si="14"/>
        <v>-1577.0712824401619</v>
      </c>
      <c r="H99" s="272">
        <f t="shared" si="10"/>
        <v>-304059.34325446322</v>
      </c>
      <c r="I99" s="244"/>
      <c r="J99" s="236">
        <f t="shared" si="15"/>
        <v>3147.3191748508702</v>
      </c>
      <c r="K99" s="265">
        <f t="shared" si="11"/>
        <v>0</v>
      </c>
      <c r="L99" s="272">
        <f t="shared" si="16"/>
        <v>0</v>
      </c>
      <c r="M99" s="265"/>
      <c r="N99" s="274">
        <f>Données!S99</f>
        <v>8922.35</v>
      </c>
      <c r="O99" s="274">
        <f>Données!T99</f>
        <v>0</v>
      </c>
      <c r="P99" s="274">
        <f>Données!U99</f>
        <v>11549.8</v>
      </c>
      <c r="Q99" s="249">
        <f>Données!V99</f>
        <v>0</v>
      </c>
      <c r="R99" s="236">
        <f t="shared" si="12"/>
        <v>10236.075000000001</v>
      </c>
      <c r="S99" s="253">
        <f t="shared" si="13"/>
        <v>-61858.788565253759</v>
      </c>
      <c r="T99" s="254">
        <f t="shared" si="17"/>
        <v>-51622.713565253754</v>
      </c>
    </row>
    <row r="100" spans="1:20" x14ac:dyDescent="0.25">
      <c r="A100" s="111">
        <f>Données!A100</f>
        <v>5561</v>
      </c>
      <c r="B100" s="123" t="str">
        <f>Données!B100</f>
        <v>Grandson</v>
      </c>
      <c r="C100" s="252">
        <f>Données!C100</f>
        <v>3391</v>
      </c>
      <c r="D100" s="249">
        <f>RFS!W100</f>
        <v>9057579.1744080782</v>
      </c>
      <c r="E100" s="265"/>
      <c r="F100" s="271">
        <f t="shared" si="9"/>
        <v>2671.0643392533407</v>
      </c>
      <c r="G100" s="265">
        <f t="shared" si="14"/>
        <v>-791.66909208556172</v>
      </c>
      <c r="H100" s="272">
        <f t="shared" si="10"/>
        <v>-2147639.913009712</v>
      </c>
      <c r="I100" s="244"/>
      <c r="J100" s="236">
        <f t="shared" si="15"/>
        <v>3304.3996129217903</v>
      </c>
      <c r="K100" s="265">
        <f t="shared" si="11"/>
        <v>0</v>
      </c>
      <c r="L100" s="272">
        <f t="shared" si="16"/>
        <v>0</v>
      </c>
      <c r="M100" s="265"/>
      <c r="N100" s="274">
        <f>Données!S100</f>
        <v>424922.2</v>
      </c>
      <c r="O100" s="274">
        <f>Données!T100</f>
        <v>208160</v>
      </c>
      <c r="P100" s="274">
        <f>Données!U100</f>
        <v>237624.2</v>
      </c>
      <c r="Q100" s="249">
        <f>Données!V100</f>
        <v>451823.1</v>
      </c>
      <c r="R100" s="236">
        <f t="shared" si="12"/>
        <v>570900.12999999989</v>
      </c>
      <c r="S100" s="253">
        <f t="shared" si="13"/>
        <v>-870386.52292437968</v>
      </c>
      <c r="T100" s="254">
        <f t="shared" si="17"/>
        <v>-299486.39292437979</v>
      </c>
    </row>
    <row r="101" spans="1:20" x14ac:dyDescent="0.25">
      <c r="A101" s="111">
        <f>Données!A101</f>
        <v>5562</v>
      </c>
      <c r="B101" s="123" t="str">
        <f>Données!B101</f>
        <v>Mauborget</v>
      </c>
      <c r="C101" s="252">
        <f>Données!C101</f>
        <v>137</v>
      </c>
      <c r="D101" s="249">
        <f>RFS!W101</f>
        <v>399357.12370331696</v>
      </c>
      <c r="E101" s="265"/>
      <c r="F101" s="271">
        <f t="shared" si="9"/>
        <v>2915.0155014840652</v>
      </c>
      <c r="G101" s="265">
        <f t="shared" si="14"/>
        <v>-547.71792985483717</v>
      </c>
      <c r="H101" s="272">
        <f t="shared" si="10"/>
        <v>-60029.88511209016</v>
      </c>
      <c r="I101" s="244"/>
      <c r="J101" s="236">
        <f t="shared" si="15"/>
        <v>3353.189845367935</v>
      </c>
      <c r="K101" s="265">
        <f t="shared" si="11"/>
        <v>0</v>
      </c>
      <c r="L101" s="272">
        <f t="shared" si="16"/>
        <v>0</v>
      </c>
      <c r="M101" s="265"/>
      <c r="N101" s="274">
        <f>Données!S101</f>
        <v>17435</v>
      </c>
      <c r="O101" s="274">
        <f>Données!T101</f>
        <v>19916.2</v>
      </c>
      <c r="P101" s="274">
        <f>Données!U101</f>
        <v>0</v>
      </c>
      <c r="Q101" s="249">
        <f>Données!V101</f>
        <v>0</v>
      </c>
      <c r="R101" s="236">
        <f t="shared" si="12"/>
        <v>18675.599999999999</v>
      </c>
      <c r="S101" s="253">
        <f t="shared" si="13"/>
        <v>-35164.539557841352</v>
      </c>
      <c r="T101" s="254">
        <f t="shared" si="17"/>
        <v>-16488.939557841353</v>
      </c>
    </row>
    <row r="102" spans="1:20" x14ac:dyDescent="0.25">
      <c r="A102" s="111">
        <f>Données!A102</f>
        <v>5563</v>
      </c>
      <c r="B102" s="123" t="str">
        <f>Données!B102</f>
        <v>Mutrux</v>
      </c>
      <c r="C102" s="252">
        <f>Données!C102</f>
        <v>138</v>
      </c>
      <c r="D102" s="249">
        <f>RFS!W102</f>
        <v>256703.40387346977</v>
      </c>
      <c r="E102" s="265"/>
      <c r="F102" s="271">
        <f t="shared" si="9"/>
        <v>1860.1695932860127</v>
      </c>
      <c r="G102" s="265">
        <f t="shared" si="14"/>
        <v>-1602.5638380528897</v>
      </c>
      <c r="H102" s="272">
        <f t="shared" si="10"/>
        <v>-176923.04772103904</v>
      </c>
      <c r="I102" s="244"/>
      <c r="J102" s="236">
        <f t="shared" si="15"/>
        <v>3142.2206637283248</v>
      </c>
      <c r="K102" s="265">
        <f t="shared" si="11"/>
        <v>0</v>
      </c>
      <c r="L102" s="272">
        <f t="shared" si="16"/>
        <v>0</v>
      </c>
      <c r="M102" s="265"/>
      <c r="N102" s="274">
        <f>Données!S102</f>
        <v>11321.45</v>
      </c>
      <c r="O102" s="274">
        <f>Données!T102</f>
        <v>0</v>
      </c>
      <c r="P102" s="274">
        <f>Données!U102</f>
        <v>-9079.15</v>
      </c>
      <c r="Q102" s="249">
        <f>Données!V102</f>
        <v>534.29999999999995</v>
      </c>
      <c r="R102" s="236">
        <f t="shared" si="12"/>
        <v>1281.4400000000005</v>
      </c>
      <c r="S102" s="253">
        <f t="shared" si="13"/>
        <v>-35421.215029066472</v>
      </c>
      <c r="T102" s="254">
        <f t="shared" si="17"/>
        <v>-34139.77502906647</v>
      </c>
    </row>
    <row r="103" spans="1:20" x14ac:dyDescent="0.25">
      <c r="A103" s="111">
        <f>Données!A103</f>
        <v>5564</v>
      </c>
      <c r="B103" s="123" t="str">
        <f>Données!B103</f>
        <v>Novalles</v>
      </c>
      <c r="C103" s="252">
        <f>Données!C103</f>
        <v>105</v>
      </c>
      <c r="D103" s="249">
        <f>RFS!W103</f>
        <v>166836.45562405305</v>
      </c>
      <c r="E103" s="265"/>
      <c r="F103" s="271">
        <f t="shared" si="9"/>
        <v>1588.9186249909815</v>
      </c>
      <c r="G103" s="265">
        <f t="shared" si="14"/>
        <v>-1873.8148063479209</v>
      </c>
      <c r="H103" s="272">
        <f t="shared" si="10"/>
        <v>-157400.44373322537</v>
      </c>
      <c r="I103" s="244"/>
      <c r="J103" s="236">
        <f t="shared" si="15"/>
        <v>3087.9704700693183</v>
      </c>
      <c r="K103" s="265">
        <f t="shared" si="11"/>
        <v>-28.489618135693945</v>
      </c>
      <c r="L103" s="272">
        <f t="shared" si="16"/>
        <v>-2991</v>
      </c>
      <c r="M103" s="265"/>
      <c r="N103" s="274">
        <f>Données!S103</f>
        <v>7135.35</v>
      </c>
      <c r="O103" s="274">
        <f>Données!T103</f>
        <v>0</v>
      </c>
      <c r="P103" s="274">
        <f>Données!U103</f>
        <v>22220.25</v>
      </c>
      <c r="Q103" s="249">
        <f>Données!V103</f>
        <v>0</v>
      </c>
      <c r="R103" s="236">
        <f t="shared" si="12"/>
        <v>14677.8</v>
      </c>
      <c r="S103" s="253">
        <f t="shared" si="13"/>
        <v>-26950.924478637531</v>
      </c>
      <c r="T103" s="254">
        <f t="shared" si="17"/>
        <v>-12273.124478637532</v>
      </c>
    </row>
    <row r="104" spans="1:20" x14ac:dyDescent="0.25">
      <c r="A104" s="111">
        <f>Données!A104</f>
        <v>5565</v>
      </c>
      <c r="B104" s="123" t="str">
        <f>Données!B104</f>
        <v>Onnens</v>
      </c>
      <c r="C104" s="252">
        <f>Données!C104</f>
        <v>527</v>
      </c>
      <c r="D104" s="249">
        <f>RFS!W104</f>
        <v>1186723.2718379532</v>
      </c>
      <c r="E104" s="265"/>
      <c r="F104" s="271">
        <f t="shared" si="9"/>
        <v>2251.8468156317899</v>
      </c>
      <c r="G104" s="265">
        <f t="shared" si="14"/>
        <v>-1210.8866157071125</v>
      </c>
      <c r="H104" s="272">
        <f t="shared" si="10"/>
        <v>-510509.79718211864</v>
      </c>
      <c r="I104" s="244"/>
      <c r="J104" s="236">
        <f t="shared" si="15"/>
        <v>3220.5561081974802</v>
      </c>
      <c r="K104" s="265">
        <f t="shared" si="11"/>
        <v>0</v>
      </c>
      <c r="L104" s="272">
        <f t="shared" si="16"/>
        <v>0</v>
      </c>
      <c r="M104" s="265"/>
      <c r="N104" s="274">
        <f>Données!S104</f>
        <v>68046.7</v>
      </c>
      <c r="O104" s="274">
        <f>Données!T104</f>
        <v>0</v>
      </c>
      <c r="P104" s="274">
        <f>Données!U104</f>
        <v>44406.3</v>
      </c>
      <c r="Q104" s="249">
        <f>Données!V104</f>
        <v>71007.8</v>
      </c>
      <c r="R104" s="236">
        <f t="shared" si="12"/>
        <v>77528.84</v>
      </c>
      <c r="S104" s="253">
        <f t="shared" si="13"/>
        <v>-135267.97333563789</v>
      </c>
      <c r="T104" s="254">
        <f t="shared" si="17"/>
        <v>-57739.133335637889</v>
      </c>
    </row>
    <row r="105" spans="1:20" x14ac:dyDescent="0.25">
      <c r="A105" s="111">
        <f>Données!A105</f>
        <v>5566</v>
      </c>
      <c r="B105" s="123" t="str">
        <f>Données!B105</f>
        <v>Provence</v>
      </c>
      <c r="C105" s="252">
        <f>Données!C105</f>
        <v>421</v>
      </c>
      <c r="D105" s="249">
        <f>RFS!W105</f>
        <v>707720.37456830649</v>
      </c>
      <c r="E105" s="265"/>
      <c r="F105" s="271">
        <f t="shared" si="9"/>
        <v>1681.0460203522719</v>
      </c>
      <c r="G105" s="265">
        <f t="shared" si="14"/>
        <v>-1781.6874109866305</v>
      </c>
      <c r="H105" s="272">
        <f t="shared" si="10"/>
        <v>-600072.32002029719</v>
      </c>
      <c r="I105" s="244"/>
      <c r="J105" s="236">
        <f t="shared" si="15"/>
        <v>3106.3959491415762</v>
      </c>
      <c r="K105" s="265">
        <f t="shared" si="11"/>
        <v>-10.06413906343596</v>
      </c>
      <c r="L105" s="272">
        <f t="shared" si="16"/>
        <v>-4237</v>
      </c>
      <c r="M105" s="265"/>
      <c r="N105" s="274">
        <f>Données!S105</f>
        <v>24703.200000000001</v>
      </c>
      <c r="O105" s="274">
        <f>Données!T105</f>
        <v>655.29999999999995</v>
      </c>
      <c r="P105" s="274">
        <f>Données!U105</f>
        <v>47503.55</v>
      </c>
      <c r="Q105" s="249">
        <f>Données!V105</f>
        <v>47758.1</v>
      </c>
      <c r="R105" s="236">
        <f t="shared" si="12"/>
        <v>50758.455000000002</v>
      </c>
      <c r="S105" s="253">
        <f t="shared" si="13"/>
        <v>-108060.37338577524</v>
      </c>
      <c r="T105" s="254">
        <f t="shared" si="17"/>
        <v>-57301.918385775236</v>
      </c>
    </row>
    <row r="106" spans="1:20" x14ac:dyDescent="0.25">
      <c r="A106" s="111">
        <f>Données!A106</f>
        <v>5568</v>
      </c>
      <c r="B106" s="123" t="str">
        <f>Données!B106</f>
        <v>Sainte-Croix</v>
      </c>
      <c r="C106" s="252">
        <f>Données!C106</f>
        <v>5149</v>
      </c>
      <c r="D106" s="249">
        <f>RFS!W106</f>
        <v>7854862.4422814483</v>
      </c>
      <c r="E106" s="265"/>
      <c r="F106" s="271">
        <f t="shared" si="9"/>
        <v>1525.5122241758493</v>
      </c>
      <c r="G106" s="265">
        <f t="shared" si="14"/>
        <v>-1937.2212071630531</v>
      </c>
      <c r="H106" s="272">
        <f t="shared" si="10"/>
        <v>-7979801.5965460483</v>
      </c>
      <c r="I106" s="244"/>
      <c r="J106" s="236">
        <f t="shared" si="15"/>
        <v>3075.289189906292</v>
      </c>
      <c r="K106" s="265">
        <f t="shared" si="11"/>
        <v>-41.170898298720203</v>
      </c>
      <c r="L106" s="272">
        <f t="shared" si="16"/>
        <v>-211989</v>
      </c>
      <c r="M106" s="265"/>
      <c r="N106" s="274">
        <f>Données!S106</f>
        <v>317511.25</v>
      </c>
      <c r="O106" s="274">
        <f>Données!T106</f>
        <v>243562.2</v>
      </c>
      <c r="P106" s="274">
        <f>Données!U106</f>
        <v>246992.25</v>
      </c>
      <c r="Q106" s="249">
        <f>Données!V106</f>
        <v>2851337.55</v>
      </c>
      <c r="R106" s="236">
        <f t="shared" si="12"/>
        <v>1259434.1149999998</v>
      </c>
      <c r="S106" s="253">
        <f t="shared" si="13"/>
        <v>-1321622.0013381394</v>
      </c>
      <c r="T106" s="254">
        <f t="shared" si="17"/>
        <v>-62187.886338139651</v>
      </c>
    </row>
    <row r="107" spans="1:20" x14ac:dyDescent="0.25">
      <c r="A107" s="111">
        <f>Données!A107</f>
        <v>5571</v>
      </c>
      <c r="B107" s="123" t="str">
        <f>Données!B107</f>
        <v>Tévenon</v>
      </c>
      <c r="C107" s="252">
        <f>Données!C107</f>
        <v>857</v>
      </c>
      <c r="D107" s="249">
        <f>RFS!W107</f>
        <v>1834786.4488382179</v>
      </c>
      <c r="E107" s="265"/>
      <c r="F107" s="271">
        <f t="shared" si="9"/>
        <v>2140.9410138135563</v>
      </c>
      <c r="G107" s="265">
        <f t="shared" si="14"/>
        <v>-1321.7924175253461</v>
      </c>
      <c r="H107" s="272">
        <f t="shared" si="10"/>
        <v>-906220.88145537733</v>
      </c>
      <c r="I107" s="244"/>
      <c r="J107" s="236">
        <f t="shared" si="15"/>
        <v>3198.3749478338336</v>
      </c>
      <c r="K107" s="265">
        <f t="shared" si="11"/>
        <v>0</v>
      </c>
      <c r="L107" s="272">
        <f t="shared" si="16"/>
        <v>0</v>
      </c>
      <c r="M107" s="265"/>
      <c r="N107" s="274">
        <f>Données!S107</f>
        <v>116709.3</v>
      </c>
      <c r="O107" s="274">
        <f>Données!T107</f>
        <v>92909.7</v>
      </c>
      <c r="P107" s="274">
        <f>Données!U107</f>
        <v>89439.45</v>
      </c>
      <c r="Q107" s="249">
        <f>Données!V107</f>
        <v>39646.25</v>
      </c>
      <c r="R107" s="236">
        <f t="shared" si="12"/>
        <v>161423.1</v>
      </c>
      <c r="S107" s="253">
        <f t="shared" si="13"/>
        <v>-219970.87883992726</v>
      </c>
      <c r="T107" s="254">
        <f t="shared" si="17"/>
        <v>-58547.778839927254</v>
      </c>
    </row>
    <row r="108" spans="1:20" x14ac:dyDescent="0.25">
      <c r="A108" s="111">
        <f>Données!A108</f>
        <v>5581</v>
      </c>
      <c r="B108" s="123" t="str">
        <f>Données!B108</f>
        <v>Belmont-sur-Lausanne</v>
      </c>
      <c r="C108" s="252">
        <f>Données!C108</f>
        <v>3891</v>
      </c>
      <c r="D108" s="249">
        <f>RFS!W108</f>
        <v>14723389.256462706</v>
      </c>
      <c r="E108" s="265"/>
      <c r="F108" s="271">
        <f t="shared" si="9"/>
        <v>3783.9602303939105</v>
      </c>
      <c r="G108" s="265">
        <f t="shared" si="14"/>
        <v>321.22679905500809</v>
      </c>
      <c r="H108" s="272">
        <f t="shared" si="10"/>
        <v>999914.78009842918</v>
      </c>
      <c r="I108" s="244"/>
      <c r="J108" s="236">
        <f t="shared" si="15"/>
        <v>3526.9787911499043</v>
      </c>
      <c r="K108" s="265">
        <f t="shared" si="11"/>
        <v>0</v>
      </c>
      <c r="L108" s="272">
        <f t="shared" si="16"/>
        <v>0</v>
      </c>
      <c r="M108" s="265"/>
      <c r="N108" s="274">
        <f>Données!S108</f>
        <v>1136916.3999999999</v>
      </c>
      <c r="O108" s="274">
        <f>Données!T108</f>
        <v>85186.6</v>
      </c>
      <c r="P108" s="274">
        <f>Données!U108</f>
        <v>502708.15</v>
      </c>
      <c r="Q108" s="249">
        <f>Données!V108</f>
        <v>5661.45</v>
      </c>
      <c r="R108" s="236">
        <f t="shared" si="12"/>
        <v>864104.01</v>
      </c>
      <c r="S108" s="253">
        <f t="shared" si="13"/>
        <v>-998724.25853693939</v>
      </c>
      <c r="T108" s="254">
        <f t="shared" si="17"/>
        <v>-134620.24853693938</v>
      </c>
    </row>
    <row r="109" spans="1:20" x14ac:dyDescent="0.25">
      <c r="A109" s="111">
        <f>Données!A109</f>
        <v>5582</v>
      </c>
      <c r="B109" s="123" t="str">
        <f>Données!B109</f>
        <v>Cheseaux-sur-Lausanne</v>
      </c>
      <c r="C109" s="252">
        <f>Données!C109</f>
        <v>4870</v>
      </c>
      <c r="D109" s="249">
        <f>RFS!W109</f>
        <v>12429826.73145905</v>
      </c>
      <c r="E109" s="265"/>
      <c r="F109" s="271">
        <f t="shared" si="9"/>
        <v>2552.3258175480596</v>
      </c>
      <c r="G109" s="265">
        <f t="shared" si="14"/>
        <v>-910.40761379084279</v>
      </c>
      <c r="H109" s="272">
        <f t="shared" si="10"/>
        <v>-3546948.0633291239</v>
      </c>
      <c r="I109" s="244"/>
      <c r="J109" s="236">
        <f t="shared" si="15"/>
        <v>3280.651908580734</v>
      </c>
      <c r="K109" s="265">
        <f t="shared" si="11"/>
        <v>0</v>
      </c>
      <c r="L109" s="272">
        <f t="shared" si="16"/>
        <v>0</v>
      </c>
      <c r="M109" s="265"/>
      <c r="N109" s="274">
        <f>Données!S109</f>
        <v>322410.15000000002</v>
      </c>
      <c r="O109" s="274">
        <f>Données!T109</f>
        <v>131620.9</v>
      </c>
      <c r="P109" s="274">
        <f>Données!U109</f>
        <v>425956.7</v>
      </c>
      <c r="Q109" s="249">
        <f>Données!V109</f>
        <v>505776.35</v>
      </c>
      <c r="R109" s="236">
        <f t="shared" si="12"/>
        <v>591726.78</v>
      </c>
      <c r="S109" s="253">
        <f t="shared" si="13"/>
        <v>-1250009.5448663312</v>
      </c>
      <c r="T109" s="254">
        <f t="shared" si="17"/>
        <v>-658282.76486633113</v>
      </c>
    </row>
    <row r="110" spans="1:20" x14ac:dyDescent="0.25">
      <c r="A110" s="111">
        <f>Données!A110</f>
        <v>5583</v>
      </c>
      <c r="B110" s="123" t="str">
        <f>Données!B110</f>
        <v>Crissier</v>
      </c>
      <c r="C110" s="252">
        <f>Données!C110</f>
        <v>11116</v>
      </c>
      <c r="D110" s="249">
        <f>RFS!W110</f>
        <v>34412630.011020318</v>
      </c>
      <c r="E110" s="265"/>
      <c r="F110" s="271">
        <f t="shared" si="9"/>
        <v>3095.7745601853471</v>
      </c>
      <c r="G110" s="265">
        <f t="shared" si="14"/>
        <v>-366.95887115355526</v>
      </c>
      <c r="H110" s="272">
        <f t="shared" si="10"/>
        <v>-3263291.8493943363</v>
      </c>
      <c r="I110" s="244"/>
      <c r="J110" s="236">
        <f t="shared" si="15"/>
        <v>3389.3416571081912</v>
      </c>
      <c r="K110" s="265">
        <f t="shared" si="11"/>
        <v>0</v>
      </c>
      <c r="L110" s="272">
        <f t="shared" si="16"/>
        <v>0</v>
      </c>
      <c r="M110" s="265"/>
      <c r="N110" s="274">
        <f>Données!S110</f>
        <v>1009044.6</v>
      </c>
      <c r="O110" s="274">
        <f>Données!T110</f>
        <v>-822886</v>
      </c>
      <c r="P110" s="274">
        <f>Données!U110</f>
        <v>1380028.85</v>
      </c>
      <c r="Q110" s="249">
        <f>Données!V110</f>
        <v>3070245.7</v>
      </c>
      <c r="R110" s="236">
        <f t="shared" si="12"/>
        <v>1704167.4350000001</v>
      </c>
      <c r="S110" s="253">
        <f t="shared" si="13"/>
        <v>-2853204.5381384264</v>
      </c>
      <c r="T110" s="254">
        <f t="shared" si="17"/>
        <v>-1149037.1031384263</v>
      </c>
    </row>
    <row r="111" spans="1:20" x14ac:dyDescent="0.25">
      <c r="A111" s="111">
        <f>Données!A111</f>
        <v>5584</v>
      </c>
      <c r="B111" s="123" t="str">
        <f>Données!B111</f>
        <v>Epalinges</v>
      </c>
      <c r="C111" s="252">
        <f>Données!C111</f>
        <v>9869</v>
      </c>
      <c r="D111" s="249">
        <f>RFS!W111</f>
        <v>35089067.766579717</v>
      </c>
      <c r="E111" s="265"/>
      <c r="F111" s="271">
        <f t="shared" si="9"/>
        <v>3555.483611974842</v>
      </c>
      <c r="G111" s="265">
        <f t="shared" si="14"/>
        <v>92.750180635939614</v>
      </c>
      <c r="H111" s="272">
        <f t="shared" si="10"/>
        <v>732281.22615687049</v>
      </c>
      <c r="I111" s="244"/>
      <c r="J111" s="236">
        <f t="shared" si="15"/>
        <v>3481.2834674660908</v>
      </c>
      <c r="K111" s="265">
        <f t="shared" si="11"/>
        <v>0</v>
      </c>
      <c r="L111" s="272">
        <f t="shared" si="16"/>
        <v>0</v>
      </c>
      <c r="M111" s="265"/>
      <c r="N111" s="274">
        <f>Données!S111</f>
        <v>941466.35</v>
      </c>
      <c r="O111" s="274">
        <f>Données!T111</f>
        <v>216741.4</v>
      </c>
      <c r="P111" s="274">
        <f>Données!U111</f>
        <v>768063.05</v>
      </c>
      <c r="Q111" s="249">
        <f>Données!V111</f>
        <v>363716.55</v>
      </c>
      <c r="R111" s="236">
        <f t="shared" si="12"/>
        <v>1072250.365</v>
      </c>
      <c r="S111" s="253">
        <f t="shared" si="13"/>
        <v>-2533130.2255207025</v>
      </c>
      <c r="T111" s="254">
        <f t="shared" si="17"/>
        <v>-1460879.8605207026</v>
      </c>
    </row>
    <row r="112" spans="1:20" x14ac:dyDescent="0.25">
      <c r="A112" s="111">
        <f>Données!A112</f>
        <v>5585</v>
      </c>
      <c r="B112" s="123" t="str">
        <f>Données!B112</f>
        <v>Jouxtens-Mézery</v>
      </c>
      <c r="C112" s="252">
        <f>Données!C112</f>
        <v>1455</v>
      </c>
      <c r="D112" s="249">
        <f>RFS!W112</f>
        <v>19167878.529840942</v>
      </c>
      <c r="E112" s="265"/>
      <c r="F112" s="271">
        <f t="shared" si="9"/>
        <v>13173.799676866627</v>
      </c>
      <c r="G112" s="265">
        <f t="shared" si="14"/>
        <v>9711.0662455277252</v>
      </c>
      <c r="H112" s="272">
        <f t="shared" si="10"/>
        <v>11303681.109794272</v>
      </c>
      <c r="I112" s="244"/>
      <c r="J112" s="236">
        <f t="shared" si="15"/>
        <v>5404.9466804444473</v>
      </c>
      <c r="K112" s="265">
        <f t="shared" si="11"/>
        <v>0</v>
      </c>
      <c r="L112" s="272">
        <f t="shared" si="16"/>
        <v>0</v>
      </c>
      <c r="M112" s="265"/>
      <c r="N112" s="274">
        <f>Données!S112</f>
        <v>498296.7</v>
      </c>
      <c r="O112" s="274">
        <f>Données!T112</f>
        <v>30690</v>
      </c>
      <c r="P112" s="274">
        <f>Données!U112</f>
        <v>634456.25</v>
      </c>
      <c r="Q112" s="249">
        <f>Données!V112</f>
        <v>2416.85</v>
      </c>
      <c r="R112" s="236">
        <f t="shared" si="12"/>
        <v>582446.53</v>
      </c>
      <c r="S112" s="253">
        <f t="shared" si="13"/>
        <v>-373462.81063254864</v>
      </c>
      <c r="T112" s="254">
        <f t="shared" si="17"/>
        <v>208983.71936745138</v>
      </c>
    </row>
    <row r="113" spans="1:20" x14ac:dyDescent="0.25">
      <c r="A113" s="111">
        <f>Données!A113</f>
        <v>5586</v>
      </c>
      <c r="B113" s="123" t="str">
        <f>Données!B113</f>
        <v>Lausanne</v>
      </c>
      <c r="C113" s="252">
        <f>Données!C113</f>
        <v>145707</v>
      </c>
      <c r="D113" s="249">
        <f>RFS!W113</f>
        <v>503911598.17602235</v>
      </c>
      <c r="E113" s="265"/>
      <c r="F113" s="271">
        <f t="shared" si="9"/>
        <v>3458.3897697160901</v>
      </c>
      <c r="G113" s="265">
        <f t="shared" si="14"/>
        <v>-4.3436616228123057</v>
      </c>
      <c r="H113" s="272">
        <f t="shared" si="10"/>
        <v>-506321.52326009015</v>
      </c>
      <c r="I113" s="244"/>
      <c r="J113" s="236">
        <f t="shared" si="15"/>
        <v>3461.8646990143402</v>
      </c>
      <c r="K113" s="265">
        <f t="shared" si="11"/>
        <v>0</v>
      </c>
      <c r="L113" s="272">
        <f t="shared" si="16"/>
        <v>0</v>
      </c>
      <c r="M113" s="265"/>
      <c r="N113" s="274">
        <f>Données!S113</f>
        <v>13731767.050000001</v>
      </c>
      <c r="O113" s="274">
        <f>Données!T113</f>
        <v>19331516.899999999</v>
      </c>
      <c r="P113" s="274">
        <f>Données!U113</f>
        <v>7977174.5499999998</v>
      </c>
      <c r="Q113" s="249">
        <f>Données!V113</f>
        <v>16707715.25</v>
      </c>
      <c r="R113" s="236">
        <f t="shared" si="12"/>
        <v>25532543.824999999</v>
      </c>
      <c r="S113" s="253">
        <f t="shared" si="13"/>
        <v>-37399412.885798462</v>
      </c>
      <c r="T113" s="254">
        <f t="shared" si="17"/>
        <v>-11866869.060798462</v>
      </c>
    </row>
    <row r="114" spans="1:20" x14ac:dyDescent="0.25">
      <c r="A114" s="111">
        <f>Données!A114</f>
        <v>5587</v>
      </c>
      <c r="B114" s="123" t="str">
        <f>Données!B114</f>
        <v>Le Mont-sur-Lausanne</v>
      </c>
      <c r="C114" s="252">
        <f>Données!C114</f>
        <v>9785</v>
      </c>
      <c r="D114" s="249">
        <f>RFS!W114</f>
        <v>36765027.56641449</v>
      </c>
      <c r="E114" s="265"/>
      <c r="F114" s="271">
        <f t="shared" si="9"/>
        <v>3757.2843706095546</v>
      </c>
      <c r="G114" s="265">
        <f t="shared" si="14"/>
        <v>294.55093927065218</v>
      </c>
      <c r="H114" s="272">
        <f t="shared" si="10"/>
        <v>2305744.7526106653</v>
      </c>
      <c r="I114" s="244"/>
      <c r="J114" s="236">
        <f t="shared" si="15"/>
        <v>3521.6436191930325</v>
      </c>
      <c r="K114" s="265">
        <f t="shared" si="11"/>
        <v>0</v>
      </c>
      <c r="L114" s="272">
        <f t="shared" si="16"/>
        <v>0</v>
      </c>
      <c r="M114" s="265"/>
      <c r="N114" s="274">
        <f>Données!S114</f>
        <v>1971861.8</v>
      </c>
      <c r="O114" s="274">
        <f>Données!T114</f>
        <v>541454</v>
      </c>
      <c r="P114" s="274">
        <f>Données!U114</f>
        <v>1077944.1000000001</v>
      </c>
      <c r="Q114" s="249">
        <f>Données!V114</f>
        <v>906820.8</v>
      </c>
      <c r="R114" s="236">
        <f t="shared" si="12"/>
        <v>2067676.19</v>
      </c>
      <c r="S114" s="253">
        <f t="shared" si="13"/>
        <v>-2511569.4859377928</v>
      </c>
      <c r="T114" s="254">
        <f t="shared" si="17"/>
        <v>-443893.29593779286</v>
      </c>
    </row>
    <row r="115" spans="1:20" x14ac:dyDescent="0.25">
      <c r="A115" s="111">
        <f>Données!A115</f>
        <v>5588</v>
      </c>
      <c r="B115" s="123" t="str">
        <f>Données!B115</f>
        <v>Paudex</v>
      </c>
      <c r="C115" s="252">
        <f>Données!C115</f>
        <v>1483</v>
      </c>
      <c r="D115" s="249">
        <f>RFS!W115</f>
        <v>7620927.8599741152</v>
      </c>
      <c r="E115" s="265"/>
      <c r="F115" s="271">
        <f t="shared" si="9"/>
        <v>5138.8589750331184</v>
      </c>
      <c r="G115" s="265">
        <f t="shared" si="14"/>
        <v>1676.125543694216</v>
      </c>
      <c r="H115" s="272">
        <f t="shared" si="10"/>
        <v>1988555.345038818</v>
      </c>
      <c r="I115" s="244"/>
      <c r="J115" s="236">
        <f t="shared" si="15"/>
        <v>3797.958540077746</v>
      </c>
      <c r="K115" s="265">
        <f t="shared" si="11"/>
        <v>0</v>
      </c>
      <c r="L115" s="272">
        <f t="shared" si="16"/>
        <v>0</v>
      </c>
      <c r="M115" s="265"/>
      <c r="N115" s="274">
        <f>Données!S115</f>
        <v>336969.45</v>
      </c>
      <c r="O115" s="274">
        <f>Données!T115</f>
        <v>0</v>
      </c>
      <c r="P115" s="274">
        <f>Données!U115</f>
        <v>343280.95</v>
      </c>
      <c r="Q115" s="249">
        <f>Données!V115</f>
        <v>29259.45</v>
      </c>
      <c r="R115" s="236">
        <f t="shared" si="12"/>
        <v>348903.03500000003</v>
      </c>
      <c r="S115" s="253">
        <f t="shared" si="13"/>
        <v>-380649.72382685199</v>
      </c>
      <c r="T115" s="254">
        <f t="shared" si="17"/>
        <v>-31746.688826851954</v>
      </c>
    </row>
    <row r="116" spans="1:20" x14ac:dyDescent="0.25">
      <c r="A116" s="111">
        <f>Données!A116</f>
        <v>5589</v>
      </c>
      <c r="B116" s="123" t="str">
        <f>Données!B116</f>
        <v>Prilly</v>
      </c>
      <c r="C116" s="252">
        <f>Données!C116</f>
        <v>13069</v>
      </c>
      <c r="D116" s="249">
        <f>RFS!W116</f>
        <v>32950301.239230916</v>
      </c>
      <c r="E116" s="265"/>
      <c r="F116" s="271">
        <f t="shared" si="9"/>
        <v>2521.2565031166055</v>
      </c>
      <c r="G116" s="265">
        <f t="shared" si="14"/>
        <v>-941.47692822229692</v>
      </c>
      <c r="H116" s="272">
        <f t="shared" si="10"/>
        <v>-9843329.5799497589</v>
      </c>
      <c r="I116" s="244"/>
      <c r="J116" s="236">
        <f t="shared" si="15"/>
        <v>3274.4380456944427</v>
      </c>
      <c r="K116" s="265">
        <f t="shared" si="11"/>
        <v>0</v>
      </c>
      <c r="L116" s="272">
        <f t="shared" si="16"/>
        <v>0</v>
      </c>
      <c r="M116" s="265"/>
      <c r="N116" s="274">
        <f>Données!S116</f>
        <v>2288209.35</v>
      </c>
      <c r="O116" s="274">
        <f>Données!T116</f>
        <v>144425.20000000001</v>
      </c>
      <c r="P116" s="274">
        <f>Données!U116</f>
        <v>557284.19999999995</v>
      </c>
      <c r="Q116" s="249">
        <f>Données!V116</f>
        <v>1852716.65</v>
      </c>
      <c r="R116" s="236">
        <f t="shared" si="12"/>
        <v>2050774.37</v>
      </c>
      <c r="S116" s="253">
        <f t="shared" si="13"/>
        <v>-3354491.7334410846</v>
      </c>
      <c r="T116" s="254">
        <f t="shared" si="17"/>
        <v>-1303717.3634410845</v>
      </c>
    </row>
    <row r="117" spans="1:20" x14ac:dyDescent="0.25">
      <c r="A117" s="111">
        <f>Données!A117</f>
        <v>5590</v>
      </c>
      <c r="B117" s="123" t="str">
        <f>Données!B117</f>
        <v>Pully</v>
      </c>
      <c r="C117" s="252">
        <f>Données!C117</f>
        <v>19550</v>
      </c>
      <c r="D117" s="249">
        <f>RFS!W117</f>
        <v>114545491.52285218</v>
      </c>
      <c r="E117" s="265"/>
      <c r="F117" s="271">
        <f t="shared" si="9"/>
        <v>5859.1044257213389</v>
      </c>
      <c r="G117" s="265">
        <f t="shared" si="14"/>
        <v>2396.3709943824365</v>
      </c>
      <c r="H117" s="272">
        <f t="shared" si="10"/>
        <v>37479242.352141306</v>
      </c>
      <c r="I117" s="244"/>
      <c r="J117" s="236">
        <f t="shared" si="15"/>
        <v>3942.0076302153902</v>
      </c>
      <c r="K117" s="265">
        <f t="shared" si="11"/>
        <v>0</v>
      </c>
      <c r="L117" s="272">
        <f t="shared" si="16"/>
        <v>0</v>
      </c>
      <c r="M117" s="265"/>
      <c r="N117" s="274">
        <f>Données!S117</f>
        <v>3528086.5</v>
      </c>
      <c r="O117" s="274">
        <f>Données!T117</f>
        <v>3445713.9</v>
      </c>
      <c r="P117" s="274">
        <f>Données!U117</f>
        <v>2934534.3</v>
      </c>
      <c r="Q117" s="249">
        <f>Données!V117</f>
        <v>195893.7</v>
      </c>
      <c r="R117" s="236">
        <f t="shared" si="12"/>
        <v>5012935.46</v>
      </c>
      <c r="S117" s="253">
        <f t="shared" si="13"/>
        <v>-5018005.4624510827</v>
      </c>
      <c r="T117" s="254">
        <f t="shared" si="17"/>
        <v>-5070.0024510826916</v>
      </c>
    </row>
    <row r="118" spans="1:20" x14ac:dyDescent="0.25">
      <c r="A118" s="111">
        <f>Données!A118</f>
        <v>5591</v>
      </c>
      <c r="B118" s="123" t="str">
        <f>Données!B118</f>
        <v>Renens</v>
      </c>
      <c r="C118" s="252">
        <f>Données!C118</f>
        <v>21827</v>
      </c>
      <c r="D118" s="249">
        <f>RFS!W118</f>
        <v>45331722.779749617</v>
      </c>
      <c r="E118" s="265"/>
      <c r="F118" s="271">
        <f t="shared" si="9"/>
        <v>2076.8645613116605</v>
      </c>
      <c r="G118" s="265">
        <f t="shared" si="14"/>
        <v>-1385.8688700272419</v>
      </c>
      <c r="H118" s="272">
        <f t="shared" si="10"/>
        <v>-24199487.860867687</v>
      </c>
      <c r="I118" s="244"/>
      <c r="J118" s="236">
        <f t="shared" si="15"/>
        <v>3185.5596573334547</v>
      </c>
      <c r="K118" s="265">
        <f t="shared" si="11"/>
        <v>0</v>
      </c>
      <c r="L118" s="272">
        <f t="shared" si="16"/>
        <v>0</v>
      </c>
      <c r="M118" s="265"/>
      <c r="N118" s="274">
        <f>Données!S118</f>
        <v>1838633.35</v>
      </c>
      <c r="O118" s="274">
        <f>Données!T118</f>
        <v>917113</v>
      </c>
      <c r="P118" s="274">
        <f>Données!U118</f>
        <v>634764.6</v>
      </c>
      <c r="Q118" s="249">
        <f>Données!V118</f>
        <v>3648812.85</v>
      </c>
      <c r="R118" s="236">
        <f t="shared" si="12"/>
        <v>2789899.33</v>
      </c>
      <c r="S118" s="253">
        <f t="shared" si="13"/>
        <v>-5602455.5104306797</v>
      </c>
      <c r="T118" s="254">
        <f t="shared" si="17"/>
        <v>-2812556.1804306796</v>
      </c>
    </row>
    <row r="119" spans="1:20" x14ac:dyDescent="0.25">
      <c r="A119" s="111">
        <f>Données!A119</f>
        <v>5592</v>
      </c>
      <c r="B119" s="123" t="str">
        <f>Données!B119</f>
        <v>Romanel-sur-Lausanne</v>
      </c>
      <c r="C119" s="252">
        <f>Données!C119</f>
        <v>4331</v>
      </c>
      <c r="D119" s="249">
        <f>RFS!W119</f>
        <v>10044561.74685194</v>
      </c>
      <c r="E119" s="265"/>
      <c r="F119" s="271">
        <f t="shared" si="9"/>
        <v>2319.2246009817454</v>
      </c>
      <c r="G119" s="265">
        <f t="shared" si="14"/>
        <v>-1143.508830357157</v>
      </c>
      <c r="H119" s="272">
        <f t="shared" si="10"/>
        <v>-3962029.3954214775</v>
      </c>
      <c r="I119" s="244"/>
      <c r="J119" s="236">
        <f t="shared" si="15"/>
        <v>3234.031665267471</v>
      </c>
      <c r="K119" s="265">
        <f t="shared" si="11"/>
        <v>0</v>
      </c>
      <c r="L119" s="272">
        <f t="shared" si="16"/>
        <v>0</v>
      </c>
      <c r="M119" s="265"/>
      <c r="N119" s="274">
        <f>Données!S119</f>
        <v>597966.85</v>
      </c>
      <c r="O119" s="274">
        <f>Données!T119</f>
        <v>45882.1</v>
      </c>
      <c r="P119" s="274">
        <f>Données!U119</f>
        <v>748247.7</v>
      </c>
      <c r="Q119" s="249">
        <f>Données!V119</f>
        <v>587481.59999999998</v>
      </c>
      <c r="R119" s="236">
        <f t="shared" si="12"/>
        <v>872292.80499999993</v>
      </c>
      <c r="S119" s="253">
        <f t="shared" si="13"/>
        <v>-1111661.4658759919</v>
      </c>
      <c r="T119" s="254">
        <f t="shared" si="17"/>
        <v>-239368.66087599192</v>
      </c>
    </row>
    <row r="120" spans="1:20" x14ac:dyDescent="0.25">
      <c r="A120" s="111">
        <f>Données!A120</f>
        <v>5601</v>
      </c>
      <c r="B120" s="123" t="str">
        <f>Données!B120</f>
        <v>Chexbres</v>
      </c>
      <c r="C120" s="252">
        <f>Données!C120</f>
        <v>2272</v>
      </c>
      <c r="D120" s="249">
        <f>RFS!W120</f>
        <v>7808336.1633662311</v>
      </c>
      <c r="E120" s="265"/>
      <c r="F120" s="271">
        <f t="shared" si="9"/>
        <v>3436.7676775379537</v>
      </c>
      <c r="G120" s="265">
        <f t="shared" si="14"/>
        <v>-25.965753800948733</v>
      </c>
      <c r="H120" s="272">
        <f t="shared" si="10"/>
        <v>-47195.354108604421</v>
      </c>
      <c r="I120" s="244"/>
      <c r="J120" s="236">
        <f t="shared" si="15"/>
        <v>3457.540280578713</v>
      </c>
      <c r="K120" s="265">
        <f t="shared" si="11"/>
        <v>0</v>
      </c>
      <c r="L120" s="272">
        <f t="shared" si="16"/>
        <v>0</v>
      </c>
      <c r="M120" s="265"/>
      <c r="N120" s="274">
        <f>Données!S120</f>
        <v>429973.35</v>
      </c>
      <c r="O120" s="274">
        <f>Données!T120</f>
        <v>1202237.8999999999</v>
      </c>
      <c r="P120" s="274">
        <f>Données!U120</f>
        <v>238256.4</v>
      </c>
      <c r="Q120" s="249">
        <f>Données!V120</f>
        <v>51407.6</v>
      </c>
      <c r="R120" s="236">
        <f t="shared" si="12"/>
        <v>950656.10499999998</v>
      </c>
      <c r="S120" s="253">
        <f t="shared" si="13"/>
        <v>-583166.67062347115</v>
      </c>
      <c r="T120" s="254">
        <f t="shared" si="17"/>
        <v>367489.43437652884</v>
      </c>
    </row>
    <row r="121" spans="1:20" x14ac:dyDescent="0.25">
      <c r="A121" s="111">
        <f>Données!A121</f>
        <v>5604</v>
      </c>
      <c r="B121" s="123" t="str">
        <f>Données!B121</f>
        <v>Forel (Lavaux)</v>
      </c>
      <c r="C121" s="252">
        <f>Données!C121</f>
        <v>2113</v>
      </c>
      <c r="D121" s="249">
        <f>RFS!W121</f>
        <v>5629189.538649084</v>
      </c>
      <c r="E121" s="265"/>
      <c r="F121" s="271">
        <f t="shared" si="9"/>
        <v>2664.0745568618477</v>
      </c>
      <c r="G121" s="265">
        <f t="shared" si="14"/>
        <v>-798.65887447705472</v>
      </c>
      <c r="H121" s="272">
        <f t="shared" si="10"/>
        <v>-1350052.9614160133</v>
      </c>
      <c r="I121" s="244"/>
      <c r="J121" s="236">
        <f t="shared" si="15"/>
        <v>3303.0016564434914</v>
      </c>
      <c r="K121" s="265">
        <f t="shared" si="11"/>
        <v>0</v>
      </c>
      <c r="L121" s="272">
        <f t="shared" si="16"/>
        <v>0</v>
      </c>
      <c r="M121" s="265"/>
      <c r="N121" s="274">
        <f>Données!S121</f>
        <v>318703.3</v>
      </c>
      <c r="O121" s="274">
        <f>Données!T121</f>
        <v>79575.600000000006</v>
      </c>
      <c r="P121" s="274">
        <f>Données!U121</f>
        <v>199200.45</v>
      </c>
      <c r="Q121" s="249">
        <f>Données!V121</f>
        <v>150168.85</v>
      </c>
      <c r="R121" s="236">
        <f t="shared" si="12"/>
        <v>343790.33000000007</v>
      </c>
      <c r="S121" s="253">
        <f t="shared" si="13"/>
        <v>-542355.27069867717</v>
      </c>
      <c r="T121" s="254">
        <f t="shared" si="17"/>
        <v>-198564.94069867709</v>
      </c>
    </row>
    <row r="122" spans="1:20" x14ac:dyDescent="0.25">
      <c r="A122" s="111">
        <f>Données!A122</f>
        <v>5606</v>
      </c>
      <c r="B122" s="123" t="str">
        <f>Données!B122</f>
        <v>Lutry</v>
      </c>
      <c r="C122" s="252">
        <f>Données!C122</f>
        <v>10843</v>
      </c>
      <c r="D122" s="249">
        <f>RFS!W122</f>
        <v>65095509.226681873</v>
      </c>
      <c r="E122" s="265"/>
      <c r="F122" s="271">
        <f t="shared" si="9"/>
        <v>6003.4593033922229</v>
      </c>
      <c r="G122" s="265">
        <f t="shared" si="14"/>
        <v>2540.7258720533205</v>
      </c>
      <c r="H122" s="272">
        <f t="shared" si="10"/>
        <v>22039272.504539326</v>
      </c>
      <c r="I122" s="244"/>
      <c r="J122" s="236">
        <f t="shared" si="15"/>
        <v>3970.8786057495663</v>
      </c>
      <c r="K122" s="265">
        <f t="shared" si="11"/>
        <v>0</v>
      </c>
      <c r="L122" s="272">
        <f t="shared" si="16"/>
        <v>0</v>
      </c>
      <c r="M122" s="265"/>
      <c r="N122" s="274">
        <f>Données!S122</f>
        <v>2139044.5499999998</v>
      </c>
      <c r="O122" s="274">
        <f>Données!T122</f>
        <v>1336690.6000000001</v>
      </c>
      <c r="P122" s="274">
        <f>Données!U122</f>
        <v>2059799.6</v>
      </c>
      <c r="Q122" s="249">
        <f>Données!V122</f>
        <v>130053.55</v>
      </c>
      <c r="R122" s="236">
        <f t="shared" si="12"/>
        <v>2806783.44</v>
      </c>
      <c r="S122" s="253">
        <f t="shared" si="13"/>
        <v>-2783132.1344939689</v>
      </c>
      <c r="T122" s="254">
        <f t="shared" si="17"/>
        <v>23651.305506031029</v>
      </c>
    </row>
    <row r="123" spans="1:20" x14ac:dyDescent="0.25">
      <c r="A123" s="111">
        <f>Données!A123</f>
        <v>5607</v>
      </c>
      <c r="B123" s="123" t="str">
        <f>Données!B123</f>
        <v>Puidoux</v>
      </c>
      <c r="C123" s="252">
        <f>Données!C123</f>
        <v>3014</v>
      </c>
      <c r="D123" s="249">
        <f>RFS!W123</f>
        <v>9025147.3723260481</v>
      </c>
      <c r="E123" s="265"/>
      <c r="F123" s="271">
        <f t="shared" si="9"/>
        <v>2994.4085508712833</v>
      </c>
      <c r="G123" s="265">
        <f t="shared" si="14"/>
        <v>-468.3248804676191</v>
      </c>
      <c r="H123" s="272">
        <f t="shared" si="10"/>
        <v>-1129224.9517835232</v>
      </c>
      <c r="I123" s="244"/>
      <c r="J123" s="236">
        <f t="shared" si="15"/>
        <v>3369.0684552453786</v>
      </c>
      <c r="K123" s="265">
        <f t="shared" si="11"/>
        <v>0</v>
      </c>
      <c r="L123" s="272">
        <f t="shared" si="16"/>
        <v>0</v>
      </c>
      <c r="M123" s="265"/>
      <c r="N123" s="274">
        <f>Données!S123</f>
        <v>262278.65000000002</v>
      </c>
      <c r="O123" s="274">
        <f>Données!T123</f>
        <v>209.2</v>
      </c>
      <c r="P123" s="274">
        <f>Données!U123</f>
        <v>166463.25</v>
      </c>
      <c r="Q123" s="249">
        <f>Données!V123</f>
        <v>369484.5</v>
      </c>
      <c r="R123" s="236">
        <f t="shared" si="12"/>
        <v>325320.90000000002</v>
      </c>
      <c r="S123" s="253">
        <f t="shared" si="13"/>
        <v>-773619.87027250964</v>
      </c>
      <c r="T123" s="254">
        <f t="shared" si="17"/>
        <v>-448298.97027250961</v>
      </c>
    </row>
    <row r="124" spans="1:20" x14ac:dyDescent="0.25">
      <c r="A124" s="111">
        <f>Données!A124</f>
        <v>5609</v>
      </c>
      <c r="B124" s="123" t="str">
        <f>Données!B124</f>
        <v>Rivaz</v>
      </c>
      <c r="C124" s="252">
        <f>Données!C124</f>
        <v>330</v>
      </c>
      <c r="D124" s="249">
        <f>RFS!W124</f>
        <v>1117701.0871722698</v>
      </c>
      <c r="E124" s="265"/>
      <c r="F124" s="271">
        <f t="shared" si="9"/>
        <v>3386.9729914311206</v>
      </c>
      <c r="G124" s="265">
        <f t="shared" si="14"/>
        <v>-75.760439907781802</v>
      </c>
      <c r="H124" s="272">
        <f t="shared" si="10"/>
        <v>-20000.756135654396</v>
      </c>
      <c r="I124" s="244"/>
      <c r="J124" s="236">
        <f t="shared" si="15"/>
        <v>3447.5813433573462</v>
      </c>
      <c r="K124" s="265">
        <f t="shared" si="11"/>
        <v>0</v>
      </c>
      <c r="L124" s="272">
        <f t="shared" si="16"/>
        <v>0</v>
      </c>
      <c r="M124" s="265"/>
      <c r="N124" s="274">
        <f>Données!S124</f>
        <v>35324.65</v>
      </c>
      <c r="O124" s="274">
        <f>Données!T124</f>
        <v>0</v>
      </c>
      <c r="P124" s="274">
        <f>Données!U124</f>
        <v>1382.95</v>
      </c>
      <c r="Q124" s="249">
        <f>Données!V124</f>
        <v>0</v>
      </c>
      <c r="R124" s="236">
        <f t="shared" si="12"/>
        <v>18353.8</v>
      </c>
      <c r="S124" s="253">
        <f t="shared" si="13"/>
        <v>-84702.905504289389</v>
      </c>
      <c r="T124" s="254">
        <f t="shared" si="17"/>
        <v>-66349.105504289386</v>
      </c>
    </row>
    <row r="125" spans="1:20" x14ac:dyDescent="0.25">
      <c r="A125" s="111">
        <f>Données!A125</f>
        <v>5610</v>
      </c>
      <c r="B125" s="123" t="str">
        <f>Données!B125</f>
        <v>St-Saphorin (Lavaux)</v>
      </c>
      <c r="C125" s="252">
        <f>Données!C125</f>
        <v>393</v>
      </c>
      <c r="D125" s="249">
        <f>RFS!W125</f>
        <v>1522942.4754896495</v>
      </c>
      <c r="E125" s="265"/>
      <c r="F125" s="271">
        <f t="shared" si="9"/>
        <v>3875.1716933578869</v>
      </c>
      <c r="G125" s="265">
        <f t="shared" si="14"/>
        <v>412.43826201898446</v>
      </c>
      <c r="H125" s="272">
        <f t="shared" si="10"/>
        <v>129670.58957876873</v>
      </c>
      <c r="I125" s="244"/>
      <c r="J125" s="236">
        <f t="shared" si="15"/>
        <v>3545.2210837426992</v>
      </c>
      <c r="K125" s="265">
        <f t="shared" si="11"/>
        <v>0</v>
      </c>
      <c r="L125" s="272">
        <f t="shared" si="16"/>
        <v>0</v>
      </c>
      <c r="M125" s="265"/>
      <c r="N125" s="274">
        <f>Données!S125</f>
        <v>43505</v>
      </c>
      <c r="O125" s="274">
        <f>Données!T125</f>
        <v>0</v>
      </c>
      <c r="P125" s="274">
        <f>Données!U125</f>
        <v>81566.399999999994</v>
      </c>
      <c r="Q125" s="249">
        <f>Données!V125</f>
        <v>0</v>
      </c>
      <c r="R125" s="236">
        <f t="shared" si="12"/>
        <v>62535.7</v>
      </c>
      <c r="S125" s="253">
        <f t="shared" si="13"/>
        <v>-100873.4601914719</v>
      </c>
      <c r="T125" s="254">
        <f t="shared" si="17"/>
        <v>-38337.760191471898</v>
      </c>
    </row>
    <row r="126" spans="1:20" x14ac:dyDescent="0.25">
      <c r="A126" s="111">
        <f>Données!A126</f>
        <v>5611</v>
      </c>
      <c r="B126" s="123" t="str">
        <f>Données!B126</f>
        <v>Savigny</v>
      </c>
      <c r="C126" s="252">
        <f>Données!C126</f>
        <v>3598</v>
      </c>
      <c r="D126" s="249">
        <f>RFS!W126</f>
        <v>10198709.583058249</v>
      </c>
      <c r="E126" s="265"/>
      <c r="F126" s="271">
        <f t="shared" si="9"/>
        <v>2834.5496339795022</v>
      </c>
      <c r="G126" s="265">
        <f t="shared" si="14"/>
        <v>-628.18379735940016</v>
      </c>
      <c r="H126" s="272">
        <f t="shared" si="10"/>
        <v>-1808164.2423192975</v>
      </c>
      <c r="I126" s="244"/>
      <c r="J126" s="236">
        <f t="shared" si="15"/>
        <v>3337.0966718670225</v>
      </c>
      <c r="K126" s="265">
        <f t="shared" si="11"/>
        <v>0</v>
      </c>
      <c r="L126" s="272">
        <f t="shared" si="16"/>
        <v>0</v>
      </c>
      <c r="M126" s="265"/>
      <c r="N126" s="274">
        <f>Données!S126</f>
        <v>393220.3</v>
      </c>
      <c r="O126" s="274">
        <f>Données!T126</f>
        <v>363242.1</v>
      </c>
      <c r="P126" s="274">
        <f>Données!U126</f>
        <v>326471.40000000002</v>
      </c>
      <c r="Q126" s="249">
        <f>Données!V126</f>
        <v>160547.65</v>
      </c>
      <c r="R126" s="236">
        <f t="shared" si="12"/>
        <v>589631.19499999995</v>
      </c>
      <c r="S126" s="253">
        <f t="shared" si="13"/>
        <v>-923518.34546797932</v>
      </c>
      <c r="T126" s="254">
        <f t="shared" si="17"/>
        <v>-333887.15046797937</v>
      </c>
    </row>
    <row r="127" spans="1:20" x14ac:dyDescent="0.25">
      <c r="A127" s="111">
        <f>Données!A127</f>
        <v>5613</v>
      </c>
      <c r="B127" s="123" t="str">
        <f>Données!B127</f>
        <v>Bourg-en-Lavaux</v>
      </c>
      <c r="C127" s="252">
        <f>Données!C127</f>
        <v>5558</v>
      </c>
      <c r="D127" s="249">
        <f>RFS!W127</f>
        <v>27516139.135221295</v>
      </c>
      <c r="E127" s="265"/>
      <c r="F127" s="271">
        <f t="shared" si="9"/>
        <v>4950.7267245810172</v>
      </c>
      <c r="G127" s="265">
        <f t="shared" si="14"/>
        <v>1487.9932932421148</v>
      </c>
      <c r="H127" s="272">
        <f t="shared" si="10"/>
        <v>6616213.3790717386</v>
      </c>
      <c r="I127" s="244"/>
      <c r="J127" s="236">
        <f t="shared" si="15"/>
        <v>3760.3320899873256</v>
      </c>
      <c r="K127" s="265">
        <f t="shared" si="11"/>
        <v>0</v>
      </c>
      <c r="L127" s="272">
        <f t="shared" si="16"/>
        <v>0</v>
      </c>
      <c r="M127" s="265"/>
      <c r="N127" s="274">
        <f>Données!S127</f>
        <v>1417941.35</v>
      </c>
      <c r="O127" s="274">
        <f>Données!T127</f>
        <v>445806.8</v>
      </c>
      <c r="P127" s="274">
        <f>Données!U127</f>
        <v>1358937.85</v>
      </c>
      <c r="Q127" s="249">
        <f>Données!V127</f>
        <v>53225.2</v>
      </c>
      <c r="R127" s="236">
        <f t="shared" si="12"/>
        <v>1627310.56</v>
      </c>
      <c r="S127" s="253">
        <f t="shared" si="13"/>
        <v>-1426602.2690692132</v>
      </c>
      <c r="T127" s="254">
        <f t="shared" si="17"/>
        <v>200708.29093078687</v>
      </c>
    </row>
    <row r="128" spans="1:20" x14ac:dyDescent="0.25">
      <c r="A128" s="111">
        <f>Données!A128</f>
        <v>5621</v>
      </c>
      <c r="B128" s="123" t="str">
        <f>Données!B128</f>
        <v>Aclens</v>
      </c>
      <c r="C128" s="252">
        <f>Données!C128</f>
        <v>609</v>
      </c>
      <c r="D128" s="249">
        <f>RFS!W128</f>
        <v>2549279.3203662364</v>
      </c>
      <c r="E128" s="265"/>
      <c r="F128" s="271">
        <f t="shared" si="9"/>
        <v>4186.0087362335571</v>
      </c>
      <c r="G128" s="265">
        <f t="shared" si="14"/>
        <v>723.27530489465471</v>
      </c>
      <c r="H128" s="272">
        <f t="shared" si="10"/>
        <v>352379.7285446758</v>
      </c>
      <c r="I128" s="244"/>
      <c r="J128" s="236">
        <f t="shared" si="15"/>
        <v>3607.3884923178334</v>
      </c>
      <c r="K128" s="265">
        <f t="shared" si="11"/>
        <v>0</v>
      </c>
      <c r="L128" s="272">
        <f t="shared" si="16"/>
        <v>0</v>
      </c>
      <c r="M128" s="265"/>
      <c r="N128" s="274">
        <f>Données!S128</f>
        <v>316437.25</v>
      </c>
      <c r="O128" s="274">
        <f>Données!T128</f>
        <v>0</v>
      </c>
      <c r="P128" s="274">
        <f>Données!U128</f>
        <v>54878.65</v>
      </c>
      <c r="Q128" s="249">
        <f>Données!V128</f>
        <v>497931.55</v>
      </c>
      <c r="R128" s="236">
        <f t="shared" si="12"/>
        <v>335037.41500000004</v>
      </c>
      <c r="S128" s="253">
        <f t="shared" si="13"/>
        <v>-156315.36197609769</v>
      </c>
      <c r="T128" s="254">
        <f t="shared" si="17"/>
        <v>178722.05302390235</v>
      </c>
    </row>
    <row r="129" spans="1:20" x14ac:dyDescent="0.25">
      <c r="A129" s="111">
        <f>Données!A129</f>
        <v>5622</v>
      </c>
      <c r="B129" s="123" t="str">
        <f>Données!B129</f>
        <v>Bremblens</v>
      </c>
      <c r="C129" s="252">
        <f>Données!C129</f>
        <v>596</v>
      </c>
      <c r="D129" s="249">
        <f>RFS!W129</f>
        <v>2410842.0589329735</v>
      </c>
      <c r="E129" s="265"/>
      <c r="F129" s="271">
        <f t="shared" si="9"/>
        <v>4045.0370116325057</v>
      </c>
      <c r="G129" s="265">
        <f t="shared" si="14"/>
        <v>582.30358029360332</v>
      </c>
      <c r="H129" s="272">
        <f t="shared" si="10"/>
        <v>277642.34708399005</v>
      </c>
      <c r="I129" s="244"/>
      <c r="J129" s="236">
        <f t="shared" si="15"/>
        <v>3579.1941473976235</v>
      </c>
      <c r="K129" s="265">
        <f t="shared" si="11"/>
        <v>0</v>
      </c>
      <c r="L129" s="272">
        <f t="shared" si="16"/>
        <v>0</v>
      </c>
      <c r="M129" s="265"/>
      <c r="N129" s="274">
        <f>Données!S129</f>
        <v>86835.1</v>
      </c>
      <c r="O129" s="274">
        <f>Données!T129</f>
        <v>109861.6</v>
      </c>
      <c r="P129" s="274">
        <f>Données!U129</f>
        <v>66988.850000000006</v>
      </c>
      <c r="Q129" s="249">
        <f>Données!V129</f>
        <v>49024.35</v>
      </c>
      <c r="R129" s="236">
        <f t="shared" si="12"/>
        <v>146550.08000000002</v>
      </c>
      <c r="S129" s="253">
        <f t="shared" si="13"/>
        <v>-152978.58085017113</v>
      </c>
      <c r="T129" s="254">
        <f t="shared" si="17"/>
        <v>-6428.5008501711127</v>
      </c>
    </row>
    <row r="130" spans="1:20" x14ac:dyDescent="0.25">
      <c r="A130" s="111">
        <f>Données!A130</f>
        <v>5623</v>
      </c>
      <c r="B130" s="123" t="str">
        <f>Données!B130</f>
        <v>Buchillon</v>
      </c>
      <c r="C130" s="252">
        <f>Données!C130</f>
        <v>682</v>
      </c>
      <c r="D130" s="249">
        <f>RFS!W130</f>
        <v>7209607.4376627412</v>
      </c>
      <c r="E130" s="265"/>
      <c r="F130" s="271">
        <f t="shared" si="9"/>
        <v>10571.271902731292</v>
      </c>
      <c r="G130" s="265">
        <f t="shared" si="14"/>
        <v>7108.5384713923904</v>
      </c>
      <c r="H130" s="272">
        <f t="shared" si="10"/>
        <v>3878418.5899916883</v>
      </c>
      <c r="I130" s="244"/>
      <c r="J130" s="236">
        <f t="shared" si="15"/>
        <v>4884.4411256173798</v>
      </c>
      <c r="K130" s="265">
        <f t="shared" si="11"/>
        <v>0</v>
      </c>
      <c r="L130" s="272">
        <f t="shared" si="16"/>
        <v>0</v>
      </c>
      <c r="M130" s="265"/>
      <c r="N130" s="274">
        <f>Données!S130</f>
        <v>252917.5</v>
      </c>
      <c r="O130" s="274">
        <f>Données!T130</f>
        <v>1633.8</v>
      </c>
      <c r="P130" s="274">
        <f>Données!U130</f>
        <v>272388.15000000002</v>
      </c>
      <c r="Q130" s="249">
        <f>Données!V130</f>
        <v>1506.9</v>
      </c>
      <c r="R130" s="236">
        <f t="shared" si="12"/>
        <v>263921.79499999998</v>
      </c>
      <c r="S130" s="253">
        <f t="shared" si="13"/>
        <v>-175052.67137553138</v>
      </c>
      <c r="T130" s="254">
        <f t="shared" si="17"/>
        <v>88869.123624468601</v>
      </c>
    </row>
    <row r="131" spans="1:20" x14ac:dyDescent="0.25">
      <c r="A131" s="111">
        <f>Données!A131</f>
        <v>5624</v>
      </c>
      <c r="B131" s="123" t="str">
        <f>Données!B131</f>
        <v>Bussigny</v>
      </c>
      <c r="C131" s="252">
        <f>Données!C131</f>
        <v>12138</v>
      </c>
      <c r="D131" s="249">
        <f>RFS!W131</f>
        <v>28938753.8282439</v>
      </c>
      <c r="E131" s="265"/>
      <c r="F131" s="271">
        <f t="shared" si="9"/>
        <v>2384.1451497976518</v>
      </c>
      <c r="G131" s="265">
        <f t="shared" si="14"/>
        <v>-1078.5882815412506</v>
      </c>
      <c r="H131" s="272">
        <f t="shared" si="10"/>
        <v>-10473523.649078161</v>
      </c>
      <c r="I131" s="244"/>
      <c r="J131" s="236">
        <f t="shared" si="15"/>
        <v>3247.0157750306521</v>
      </c>
      <c r="K131" s="265">
        <f t="shared" si="11"/>
        <v>0</v>
      </c>
      <c r="L131" s="272">
        <f t="shared" si="16"/>
        <v>0</v>
      </c>
      <c r="M131" s="265"/>
      <c r="N131" s="274">
        <f>Données!S131</f>
        <v>1239743.75</v>
      </c>
      <c r="O131" s="274">
        <f>Données!T131</f>
        <v>104213.9</v>
      </c>
      <c r="P131" s="274">
        <f>Données!U131</f>
        <v>491320.5</v>
      </c>
      <c r="Q131" s="249">
        <f>Données!V131</f>
        <v>1893432.95</v>
      </c>
      <c r="R131" s="236">
        <f t="shared" si="12"/>
        <v>1485668.96</v>
      </c>
      <c r="S131" s="253">
        <f t="shared" si="13"/>
        <v>-3115526.8697304986</v>
      </c>
      <c r="T131" s="254">
        <f t="shared" si="17"/>
        <v>-1629857.9097304987</v>
      </c>
    </row>
    <row r="132" spans="1:20" x14ac:dyDescent="0.25">
      <c r="A132" s="111">
        <f>Données!A132</f>
        <v>5627</v>
      </c>
      <c r="B132" s="123" t="str">
        <f>Données!B132</f>
        <v>Chavannes-près-Renens</v>
      </c>
      <c r="C132" s="252">
        <f>Données!C132</f>
        <v>10735</v>
      </c>
      <c r="D132" s="249">
        <f>RFS!W132</f>
        <v>16960292.629870694</v>
      </c>
      <c r="E132" s="265"/>
      <c r="F132" s="271">
        <f t="shared" si="9"/>
        <v>1579.9061602115225</v>
      </c>
      <c r="G132" s="265">
        <f t="shared" si="14"/>
        <v>-1882.8272711273798</v>
      </c>
      <c r="H132" s="272">
        <f t="shared" si="10"/>
        <v>-16169720.604441939</v>
      </c>
      <c r="I132" s="244"/>
      <c r="J132" s="236">
        <f t="shared" si="15"/>
        <v>3086.1679771134263</v>
      </c>
      <c r="K132" s="265">
        <f t="shared" si="11"/>
        <v>-30.292111091585866</v>
      </c>
      <c r="L132" s="272">
        <f t="shared" si="16"/>
        <v>-325186</v>
      </c>
      <c r="M132" s="265"/>
      <c r="N132" s="274">
        <f>Données!S132</f>
        <v>800580.1</v>
      </c>
      <c r="O132" s="274">
        <f>Données!T132</f>
        <v>104131.4</v>
      </c>
      <c r="P132" s="274">
        <f>Données!U132</f>
        <v>131332.9</v>
      </c>
      <c r="Q132" s="249">
        <f>Données!V132</f>
        <v>577812.19999999995</v>
      </c>
      <c r="R132" s="236">
        <f t="shared" si="12"/>
        <v>691365.86</v>
      </c>
      <c r="S132" s="253">
        <f t="shared" si="13"/>
        <v>-2755411.183601656</v>
      </c>
      <c r="T132" s="254">
        <f t="shared" si="17"/>
        <v>-2064045.3236016561</v>
      </c>
    </row>
    <row r="133" spans="1:20" x14ac:dyDescent="0.25">
      <c r="A133" s="111">
        <f>Données!A133</f>
        <v>5628</v>
      </c>
      <c r="B133" s="123" t="str">
        <f>Données!B133</f>
        <v>Chigny</v>
      </c>
      <c r="C133" s="252">
        <f>Données!C133</f>
        <v>410</v>
      </c>
      <c r="D133" s="249">
        <f>RFS!W133</f>
        <v>1956577.2533053977</v>
      </c>
      <c r="E133" s="265"/>
      <c r="F133" s="271">
        <f t="shared" si="9"/>
        <v>4772.1396422082871</v>
      </c>
      <c r="G133" s="265">
        <f t="shared" si="14"/>
        <v>1309.4062108693847</v>
      </c>
      <c r="H133" s="272">
        <f t="shared" si="10"/>
        <v>429485.23716515821</v>
      </c>
      <c r="I133" s="244"/>
      <c r="J133" s="236">
        <f t="shared" si="15"/>
        <v>3724.6146735127795</v>
      </c>
      <c r="K133" s="265">
        <f t="shared" si="11"/>
        <v>0</v>
      </c>
      <c r="L133" s="272">
        <f t="shared" si="16"/>
        <v>0</v>
      </c>
      <c r="M133" s="265"/>
      <c r="N133" s="274">
        <f>Données!S133</f>
        <v>69355</v>
      </c>
      <c r="O133" s="274">
        <f>Données!T133</f>
        <v>0</v>
      </c>
      <c r="P133" s="274">
        <f>Données!U133</f>
        <v>52817.15</v>
      </c>
      <c r="Q133" s="249">
        <f>Données!V133</f>
        <v>851.65</v>
      </c>
      <c r="R133" s="236">
        <f t="shared" si="12"/>
        <v>61341.57</v>
      </c>
      <c r="S133" s="253">
        <f t="shared" si="13"/>
        <v>-105236.94320229893</v>
      </c>
      <c r="T133" s="254">
        <f t="shared" si="17"/>
        <v>-43895.373202298935</v>
      </c>
    </row>
    <row r="134" spans="1:20" x14ac:dyDescent="0.25">
      <c r="A134" s="111">
        <f>Données!A134</f>
        <v>5629</v>
      </c>
      <c r="B134" s="123" t="str">
        <f>Données!B134</f>
        <v>Clarmont</v>
      </c>
      <c r="C134" s="252">
        <f>Données!C134</f>
        <v>232</v>
      </c>
      <c r="D134" s="249">
        <f>RFS!W134</f>
        <v>625466.65668590448</v>
      </c>
      <c r="E134" s="265"/>
      <c r="F134" s="271">
        <f t="shared" si="9"/>
        <v>2695.9769684737262</v>
      </c>
      <c r="G134" s="265">
        <f t="shared" si="14"/>
        <v>-766.75646286517622</v>
      </c>
      <c r="H134" s="272">
        <f t="shared" si="10"/>
        <v>-142309.99950777669</v>
      </c>
      <c r="I134" s="244"/>
      <c r="J134" s="236">
        <f t="shared" si="15"/>
        <v>3309.3821387658672</v>
      </c>
      <c r="K134" s="265">
        <f t="shared" si="11"/>
        <v>0</v>
      </c>
      <c r="L134" s="272">
        <f t="shared" si="16"/>
        <v>0</v>
      </c>
      <c r="M134" s="265"/>
      <c r="N134" s="274">
        <f>Données!S134</f>
        <v>0</v>
      </c>
      <c r="O134" s="274">
        <f>Données!T134</f>
        <v>0</v>
      </c>
      <c r="P134" s="274">
        <f>Données!U134</f>
        <v>0</v>
      </c>
      <c r="Q134" s="249">
        <f>Données!V134</f>
        <v>0</v>
      </c>
      <c r="R134" s="236">
        <f t="shared" si="12"/>
        <v>0</v>
      </c>
      <c r="S134" s="253">
        <f t="shared" si="13"/>
        <v>-59548.70932422769</v>
      </c>
      <c r="T134" s="254">
        <f t="shared" si="17"/>
        <v>-59548.70932422769</v>
      </c>
    </row>
    <row r="135" spans="1:20" x14ac:dyDescent="0.25">
      <c r="A135" s="111">
        <f>Données!A135</f>
        <v>5631</v>
      </c>
      <c r="B135" s="123" t="str">
        <f>Données!B135</f>
        <v>Denens</v>
      </c>
      <c r="C135" s="252">
        <f>Données!C135</f>
        <v>748</v>
      </c>
      <c r="D135" s="249">
        <f>RFS!W135</f>
        <v>3247040.5956729329</v>
      </c>
      <c r="E135" s="265"/>
      <c r="F135" s="271">
        <f t="shared" si="9"/>
        <v>4340.9633631991082</v>
      </c>
      <c r="G135" s="265">
        <f t="shared" si="14"/>
        <v>878.22993186020585</v>
      </c>
      <c r="H135" s="272">
        <f t="shared" si="10"/>
        <v>525532.7912251472</v>
      </c>
      <c r="I135" s="244"/>
      <c r="J135" s="236">
        <f t="shared" si="15"/>
        <v>3638.3794177109439</v>
      </c>
      <c r="K135" s="265">
        <f t="shared" si="11"/>
        <v>0</v>
      </c>
      <c r="L135" s="272">
        <f t="shared" si="16"/>
        <v>0</v>
      </c>
      <c r="M135" s="265"/>
      <c r="N135" s="274">
        <f>Données!S135</f>
        <v>170517.35</v>
      </c>
      <c r="O135" s="274">
        <f>Données!T135</f>
        <v>277628.2</v>
      </c>
      <c r="P135" s="274">
        <f>Données!U135</f>
        <v>278729.34999999998</v>
      </c>
      <c r="Q135" s="249">
        <f>Données!V135</f>
        <v>2971.65</v>
      </c>
      <c r="R135" s="236">
        <f t="shared" si="12"/>
        <v>364328.94500000001</v>
      </c>
      <c r="S135" s="253">
        <f t="shared" si="13"/>
        <v>-191993.25247638926</v>
      </c>
      <c r="T135" s="254">
        <f t="shared" si="17"/>
        <v>172335.69252361075</v>
      </c>
    </row>
    <row r="136" spans="1:20" x14ac:dyDescent="0.25">
      <c r="A136" s="111">
        <f>Données!A136</f>
        <v>5632</v>
      </c>
      <c r="B136" s="123" t="str">
        <f>Données!B136</f>
        <v>Denges</v>
      </c>
      <c r="C136" s="252">
        <f>Données!C136</f>
        <v>1844</v>
      </c>
      <c r="D136" s="249">
        <f>RFS!W136</f>
        <v>5666580.8881404223</v>
      </c>
      <c r="E136" s="265"/>
      <c r="F136" s="271">
        <f t="shared" ref="F136:F199" si="18">D136/C136</f>
        <v>3072.9831280587973</v>
      </c>
      <c r="G136" s="265">
        <f t="shared" si="14"/>
        <v>-389.75030328010507</v>
      </c>
      <c r="H136" s="272">
        <f t="shared" ref="H136:H199" si="19">G136*$G$6*C136</f>
        <v>-574959.64739881107</v>
      </c>
      <c r="I136" s="244"/>
      <c r="J136" s="236">
        <f t="shared" si="15"/>
        <v>3384.7833706828815</v>
      </c>
      <c r="K136" s="265">
        <f t="shared" ref="K136:K199" si="20">IF(J136&lt;$J$6,J136-($J$6),0)</f>
        <v>0</v>
      </c>
      <c r="L136" s="272">
        <f t="shared" si="16"/>
        <v>0</v>
      </c>
      <c r="M136" s="265"/>
      <c r="N136" s="274">
        <f>Données!S136</f>
        <v>819792.75</v>
      </c>
      <c r="O136" s="274">
        <f>Données!T136</f>
        <v>215462.6</v>
      </c>
      <c r="P136" s="274">
        <f>Données!U136</f>
        <v>599980.4</v>
      </c>
      <c r="Q136" s="249">
        <f>Données!V136</f>
        <v>112446.45</v>
      </c>
      <c r="R136" s="236">
        <f t="shared" ref="R136:R199" si="21">SUMPRODUCT($N$6:$Q$6,N136:Q136)</f>
        <v>851351.81</v>
      </c>
      <c r="S136" s="253">
        <f t="shared" ref="S136:S199" si="22">-($R$308-$S$6)/$C$308*C136</f>
        <v>-473309.56893912004</v>
      </c>
      <c r="T136" s="254">
        <f t="shared" si="17"/>
        <v>378042.24106088001</v>
      </c>
    </row>
    <row r="137" spans="1:20" x14ac:dyDescent="0.25">
      <c r="A137" s="111">
        <f>Données!A137</f>
        <v>5633</v>
      </c>
      <c r="B137" s="123" t="str">
        <f>Données!B137</f>
        <v>Echandens</v>
      </c>
      <c r="C137" s="252">
        <f>Données!C137</f>
        <v>3116</v>
      </c>
      <c r="D137" s="249">
        <f>RFS!W137</f>
        <v>10058019.22922438</v>
      </c>
      <c r="E137" s="265"/>
      <c r="F137" s="271">
        <f t="shared" si="18"/>
        <v>3227.8623970553208</v>
      </c>
      <c r="G137" s="265">
        <f t="shared" ref="G137:G200" si="23">F137-$F$308</f>
        <v>-234.87103428358159</v>
      </c>
      <c r="H137" s="272">
        <f t="shared" si="19"/>
        <v>-585486.51426211221</v>
      </c>
      <c r="I137" s="244"/>
      <c r="J137" s="236">
        <f t="shared" ref="J137:J200" si="24">(D137-H137)/C137</f>
        <v>3415.7592244821863</v>
      </c>
      <c r="K137" s="265">
        <f t="shared" si="20"/>
        <v>0</v>
      </c>
      <c r="L137" s="272">
        <f t="shared" ref="L137:L200" si="25">ROUND(K137*C137,0)</f>
        <v>0</v>
      </c>
      <c r="M137" s="265"/>
      <c r="N137" s="274">
        <f>Données!S137</f>
        <v>427251.95</v>
      </c>
      <c r="O137" s="274">
        <f>Données!T137</f>
        <v>13690.9</v>
      </c>
      <c r="P137" s="274">
        <f>Données!U137</f>
        <v>289492.59999999998</v>
      </c>
      <c r="Q137" s="249">
        <f>Données!V137</f>
        <v>331730.55</v>
      </c>
      <c r="R137" s="236">
        <f t="shared" si="21"/>
        <v>464736.88999999996</v>
      </c>
      <c r="S137" s="253">
        <f t="shared" si="22"/>
        <v>-799800.76833747188</v>
      </c>
      <c r="T137" s="254">
        <f t="shared" ref="T137:T200" si="26">R137+S137</f>
        <v>-335063.87833747192</v>
      </c>
    </row>
    <row r="138" spans="1:20" x14ac:dyDescent="0.25">
      <c r="A138" s="111">
        <f>Données!A138</f>
        <v>5634</v>
      </c>
      <c r="B138" s="123" t="str">
        <f>Données!B138</f>
        <v>Echichens</v>
      </c>
      <c r="C138" s="252">
        <f>Données!C138</f>
        <v>3241</v>
      </c>
      <c r="D138" s="249">
        <f>RFS!W138</f>
        <v>11546055.184501572</v>
      </c>
      <c r="E138" s="265"/>
      <c r="F138" s="271">
        <f t="shared" si="18"/>
        <v>3562.497742826773</v>
      </c>
      <c r="G138" s="265">
        <f t="shared" si="23"/>
        <v>99.7643114878706</v>
      </c>
      <c r="H138" s="272">
        <f t="shared" si="19"/>
        <v>258668.90682575092</v>
      </c>
      <c r="I138" s="244"/>
      <c r="J138" s="236">
        <f t="shared" si="24"/>
        <v>3482.6862936364764</v>
      </c>
      <c r="K138" s="265">
        <f t="shared" si="20"/>
        <v>0</v>
      </c>
      <c r="L138" s="272">
        <f t="shared" si="25"/>
        <v>0</v>
      </c>
      <c r="M138" s="265"/>
      <c r="N138" s="274">
        <f>Données!S138</f>
        <v>649989.19999999995</v>
      </c>
      <c r="O138" s="274">
        <f>Données!T138</f>
        <v>552086.69999999995</v>
      </c>
      <c r="P138" s="274">
        <f>Données!U138</f>
        <v>452779.05</v>
      </c>
      <c r="Q138" s="249">
        <f>Données!V138</f>
        <v>102596.9</v>
      </c>
      <c r="R138" s="236">
        <f t="shared" si="21"/>
        <v>858206.54499999993</v>
      </c>
      <c r="S138" s="253">
        <f t="shared" si="22"/>
        <v>-831885.20224061178</v>
      </c>
      <c r="T138" s="254">
        <f t="shared" si="26"/>
        <v>26321.34275938815</v>
      </c>
    </row>
    <row r="139" spans="1:20" x14ac:dyDescent="0.25">
      <c r="A139" s="111">
        <f>Données!A139</f>
        <v>5635</v>
      </c>
      <c r="B139" s="123" t="str">
        <f>Données!B139</f>
        <v>Ecublens</v>
      </c>
      <c r="C139" s="252">
        <f>Données!C139</f>
        <v>13758</v>
      </c>
      <c r="D139" s="249">
        <f>RFS!W139</f>
        <v>38397873.681337073</v>
      </c>
      <c r="E139" s="265"/>
      <c r="F139" s="271">
        <f t="shared" si="18"/>
        <v>2790.9488066097597</v>
      </c>
      <c r="G139" s="265">
        <f t="shared" si="23"/>
        <v>-671.78462472914271</v>
      </c>
      <c r="H139" s="272">
        <f t="shared" si="19"/>
        <v>-7393930.2936188374</v>
      </c>
      <c r="I139" s="244"/>
      <c r="J139" s="236">
        <f t="shared" si="24"/>
        <v>3328.3765063930737</v>
      </c>
      <c r="K139" s="265">
        <f t="shared" si="20"/>
        <v>0</v>
      </c>
      <c r="L139" s="272">
        <f t="shared" si="25"/>
        <v>0</v>
      </c>
      <c r="M139" s="265"/>
      <c r="N139" s="274">
        <f>Données!S139</f>
        <v>1313126.3500000001</v>
      </c>
      <c r="O139" s="274">
        <f>Données!T139</f>
        <v>229678.5</v>
      </c>
      <c r="P139" s="274">
        <f>Données!U139</f>
        <v>1015030.05</v>
      </c>
      <c r="Q139" s="249">
        <f>Données!V139</f>
        <v>2742274.45</v>
      </c>
      <c r="R139" s="236">
        <f t="shared" si="21"/>
        <v>2101599.7850000001</v>
      </c>
      <c r="S139" s="253">
        <f t="shared" si="22"/>
        <v>-3531341.1331151919</v>
      </c>
      <c r="T139" s="254">
        <f t="shared" si="26"/>
        <v>-1429741.3481151918</v>
      </c>
    </row>
    <row r="140" spans="1:20" x14ac:dyDescent="0.25">
      <c r="A140" s="111">
        <f>Données!A140</f>
        <v>5636</v>
      </c>
      <c r="B140" s="123" t="str">
        <f>Données!B140</f>
        <v>Etoy</v>
      </c>
      <c r="C140" s="252">
        <f>Données!C140</f>
        <v>3013</v>
      </c>
      <c r="D140" s="249">
        <f>RFS!W140</f>
        <v>21891808.301625591</v>
      </c>
      <c r="E140" s="265"/>
      <c r="F140" s="271">
        <f t="shared" si="18"/>
        <v>7265.78436827932</v>
      </c>
      <c r="G140" s="265">
        <f t="shared" si="23"/>
        <v>3803.0509369404176</v>
      </c>
      <c r="H140" s="272">
        <f t="shared" si="19"/>
        <v>9166873.9784011822</v>
      </c>
      <c r="I140" s="244"/>
      <c r="J140" s="236">
        <f t="shared" si="24"/>
        <v>4223.3436187269863</v>
      </c>
      <c r="K140" s="265">
        <f t="shared" si="20"/>
        <v>0</v>
      </c>
      <c r="L140" s="272">
        <f t="shared" si="25"/>
        <v>0</v>
      </c>
      <c r="M140" s="265"/>
      <c r="N140" s="274">
        <f>Données!S140</f>
        <v>982311.35</v>
      </c>
      <c r="O140" s="274">
        <f>Données!T140</f>
        <v>459150.2</v>
      </c>
      <c r="P140" s="274">
        <f>Données!U140</f>
        <v>458329.95</v>
      </c>
      <c r="Q140" s="249">
        <f>Données!V140</f>
        <v>925854.3</v>
      </c>
      <c r="R140" s="236">
        <f t="shared" si="21"/>
        <v>1227652.04</v>
      </c>
      <c r="S140" s="253">
        <f t="shared" si="22"/>
        <v>-773363.19480128458</v>
      </c>
      <c r="T140" s="254">
        <f t="shared" si="26"/>
        <v>454288.84519871545</v>
      </c>
    </row>
    <row r="141" spans="1:20" x14ac:dyDescent="0.25">
      <c r="A141" s="111">
        <f>Données!A141</f>
        <v>5637</v>
      </c>
      <c r="B141" s="123" t="str">
        <f>Données!B141</f>
        <v>Lavigny</v>
      </c>
      <c r="C141" s="252">
        <f>Données!C141</f>
        <v>1108</v>
      </c>
      <c r="D141" s="249">
        <f>RFS!W141</f>
        <v>2774188.6438383795</v>
      </c>
      <c r="E141" s="265"/>
      <c r="F141" s="271">
        <f t="shared" si="18"/>
        <v>2503.7803644750716</v>
      </c>
      <c r="G141" s="265">
        <f t="shared" si="23"/>
        <v>-958.95306686383083</v>
      </c>
      <c r="H141" s="272">
        <f t="shared" si="19"/>
        <v>-850015.99846809974</v>
      </c>
      <c r="I141" s="244"/>
      <c r="J141" s="236">
        <f t="shared" si="24"/>
        <v>3270.9428179661363</v>
      </c>
      <c r="K141" s="265">
        <f t="shared" si="20"/>
        <v>0</v>
      </c>
      <c r="L141" s="272">
        <f t="shared" si="25"/>
        <v>0</v>
      </c>
      <c r="M141" s="265"/>
      <c r="N141" s="274">
        <f>Données!S141</f>
        <v>101654.85</v>
      </c>
      <c r="O141" s="274">
        <f>Données!T141</f>
        <v>2746.3</v>
      </c>
      <c r="P141" s="274">
        <f>Données!U141</f>
        <v>-160.44999999999999</v>
      </c>
      <c r="Q141" s="249">
        <f>Données!V141</f>
        <v>438303.6</v>
      </c>
      <c r="R141" s="236">
        <f t="shared" si="21"/>
        <v>183611.43</v>
      </c>
      <c r="S141" s="253">
        <f t="shared" si="22"/>
        <v>-284396.42211743223</v>
      </c>
      <c r="T141" s="254">
        <f t="shared" si="26"/>
        <v>-100784.99211743224</v>
      </c>
    </row>
    <row r="142" spans="1:20" x14ac:dyDescent="0.25">
      <c r="A142" s="111">
        <f>Données!A142</f>
        <v>5638</v>
      </c>
      <c r="B142" s="123" t="str">
        <f>Données!B142</f>
        <v>Lonay</v>
      </c>
      <c r="C142" s="252">
        <f>Données!C142</f>
        <v>2719</v>
      </c>
      <c r="D142" s="249">
        <f>RFS!W142</f>
        <v>10926363.297851957</v>
      </c>
      <c r="E142" s="265"/>
      <c r="F142" s="271">
        <f t="shared" si="18"/>
        <v>4018.522728154453</v>
      </c>
      <c r="G142" s="265">
        <f t="shared" si="23"/>
        <v>555.78929681555064</v>
      </c>
      <c r="H142" s="272">
        <f t="shared" si="19"/>
        <v>1208952.8784331859</v>
      </c>
      <c r="I142" s="244"/>
      <c r="J142" s="236">
        <f t="shared" si="24"/>
        <v>3573.8912907020122</v>
      </c>
      <c r="K142" s="265">
        <f t="shared" si="20"/>
        <v>0</v>
      </c>
      <c r="L142" s="272">
        <f t="shared" si="25"/>
        <v>0</v>
      </c>
      <c r="M142" s="265"/>
      <c r="N142" s="274">
        <f>Données!S142</f>
        <v>706892.4</v>
      </c>
      <c r="O142" s="274">
        <f>Données!T142</f>
        <v>1171886.5</v>
      </c>
      <c r="P142" s="274">
        <f>Données!U142</f>
        <v>1040979.55</v>
      </c>
      <c r="Q142" s="249">
        <f>Données!V142</f>
        <v>412525.9</v>
      </c>
      <c r="R142" s="236">
        <f t="shared" si="21"/>
        <v>1583636.9950000001</v>
      </c>
      <c r="S142" s="253">
        <f t="shared" si="22"/>
        <v>-697900.60626109946</v>
      </c>
      <c r="T142" s="254">
        <f t="shared" si="26"/>
        <v>885736.38873890066</v>
      </c>
    </row>
    <row r="143" spans="1:20" x14ac:dyDescent="0.25">
      <c r="A143" s="111">
        <f>Données!A143</f>
        <v>5639</v>
      </c>
      <c r="B143" s="123" t="str">
        <f>Données!B143</f>
        <v>Lully</v>
      </c>
      <c r="C143" s="252">
        <f>Données!C143</f>
        <v>824</v>
      </c>
      <c r="D143" s="249">
        <f>RFS!W143</f>
        <v>3944898.9781304002</v>
      </c>
      <c r="E143" s="265"/>
      <c r="F143" s="271">
        <f t="shared" si="18"/>
        <v>4787.4987598669904</v>
      </c>
      <c r="G143" s="265">
        <f t="shared" si="23"/>
        <v>1324.765328528088</v>
      </c>
      <c r="H143" s="272">
        <f t="shared" si="19"/>
        <v>873285.30456571572</v>
      </c>
      <c r="I143" s="244"/>
      <c r="J143" s="236">
        <f t="shared" si="24"/>
        <v>3727.6864970445199</v>
      </c>
      <c r="K143" s="265">
        <f t="shared" si="20"/>
        <v>0</v>
      </c>
      <c r="L143" s="272">
        <f t="shared" si="25"/>
        <v>0</v>
      </c>
      <c r="M143" s="265"/>
      <c r="N143" s="274">
        <f>Données!S143</f>
        <v>100864.5</v>
      </c>
      <c r="O143" s="274">
        <f>Données!T143</f>
        <v>117759.2</v>
      </c>
      <c r="P143" s="274">
        <f>Données!U143</f>
        <v>95103.6</v>
      </c>
      <c r="Q143" s="249">
        <f>Données!V143</f>
        <v>19947.599999999999</v>
      </c>
      <c r="R143" s="236">
        <f t="shared" si="21"/>
        <v>162847.93000000002</v>
      </c>
      <c r="S143" s="253">
        <f t="shared" si="22"/>
        <v>-211500.58828949832</v>
      </c>
      <c r="T143" s="254">
        <f t="shared" si="26"/>
        <v>-48652.6582894983</v>
      </c>
    </row>
    <row r="144" spans="1:20" x14ac:dyDescent="0.25">
      <c r="A144" s="111">
        <f>Données!A144</f>
        <v>5640</v>
      </c>
      <c r="B144" s="123" t="str">
        <f>Données!B144</f>
        <v>Lussy-sur-Morges</v>
      </c>
      <c r="C144" s="252">
        <f>Données!C144</f>
        <v>721</v>
      </c>
      <c r="D144" s="249">
        <f>RFS!W144</f>
        <v>4387802.7526769331</v>
      </c>
      <c r="E144" s="265"/>
      <c r="F144" s="271">
        <f t="shared" si="18"/>
        <v>6085.7181035741096</v>
      </c>
      <c r="G144" s="265">
        <f t="shared" si="23"/>
        <v>2622.9846722352072</v>
      </c>
      <c r="H144" s="272">
        <f t="shared" si="19"/>
        <v>1512937.5589452677</v>
      </c>
      <c r="I144" s="244"/>
      <c r="J144" s="236">
        <f t="shared" si="24"/>
        <v>3987.3303657859442</v>
      </c>
      <c r="K144" s="265">
        <f t="shared" si="20"/>
        <v>0</v>
      </c>
      <c r="L144" s="272">
        <f t="shared" si="25"/>
        <v>0</v>
      </c>
      <c r="M144" s="265"/>
      <c r="N144" s="274">
        <f>Données!S144</f>
        <v>44313.5</v>
      </c>
      <c r="O144" s="274">
        <f>Données!T144</f>
        <v>342.7</v>
      </c>
      <c r="P144" s="274">
        <f>Données!U144</f>
        <v>51563.3</v>
      </c>
      <c r="Q144" s="249">
        <f>Données!V144</f>
        <v>20850.45</v>
      </c>
      <c r="R144" s="236">
        <f t="shared" si="21"/>
        <v>54364.885000000002</v>
      </c>
      <c r="S144" s="253">
        <f t="shared" si="22"/>
        <v>-185063.01475331103</v>
      </c>
      <c r="T144" s="254">
        <f t="shared" si="26"/>
        <v>-130698.12975331102</v>
      </c>
    </row>
    <row r="145" spans="1:20" x14ac:dyDescent="0.25">
      <c r="A145" s="111">
        <f>Données!A145</f>
        <v>5642</v>
      </c>
      <c r="B145" s="123" t="str">
        <f>Données!B145</f>
        <v>Morges</v>
      </c>
      <c r="C145" s="252">
        <f>Données!C145</f>
        <v>17813</v>
      </c>
      <c r="D145" s="249">
        <f>RFS!W145</f>
        <v>61535073.043630496</v>
      </c>
      <c r="E145" s="265"/>
      <c r="F145" s="271">
        <f t="shared" si="18"/>
        <v>3454.5036234003533</v>
      </c>
      <c r="G145" s="265">
        <f t="shared" si="23"/>
        <v>-8.2298079385491292</v>
      </c>
      <c r="H145" s="272">
        <f t="shared" si="19"/>
        <v>-117278.05504750051</v>
      </c>
      <c r="I145" s="244"/>
      <c r="J145" s="236">
        <f t="shared" si="24"/>
        <v>3461.0874697511927</v>
      </c>
      <c r="K145" s="265">
        <f t="shared" si="20"/>
        <v>0</v>
      </c>
      <c r="L145" s="272">
        <f t="shared" si="25"/>
        <v>0</v>
      </c>
      <c r="M145" s="265"/>
      <c r="N145" s="274">
        <f>Données!S145</f>
        <v>2974232.4</v>
      </c>
      <c r="O145" s="274">
        <f>Données!T145</f>
        <v>1945918.8</v>
      </c>
      <c r="P145" s="274">
        <f>Données!U145</f>
        <v>2244241.5499999998</v>
      </c>
      <c r="Q145" s="249">
        <f>Données!V145</f>
        <v>2019887.75</v>
      </c>
      <c r="R145" s="236">
        <f t="shared" si="21"/>
        <v>4188162.7</v>
      </c>
      <c r="S145" s="253">
        <f t="shared" si="22"/>
        <v>-4572160.1689330507</v>
      </c>
      <c r="T145" s="254">
        <f t="shared" si="26"/>
        <v>-383997.46893305052</v>
      </c>
    </row>
    <row r="146" spans="1:20" x14ac:dyDescent="0.25">
      <c r="A146" s="111">
        <f>Données!A146</f>
        <v>5643</v>
      </c>
      <c r="B146" s="123" t="str">
        <f>Données!B146</f>
        <v>Préverenges</v>
      </c>
      <c r="C146" s="252">
        <f>Données!C146</f>
        <v>5236</v>
      </c>
      <c r="D146" s="249">
        <f>RFS!W146</f>
        <v>19770684.669100434</v>
      </c>
      <c r="E146" s="265"/>
      <c r="F146" s="271">
        <f t="shared" si="18"/>
        <v>3775.9138023492042</v>
      </c>
      <c r="G146" s="265">
        <f t="shared" si="23"/>
        <v>313.18037101030177</v>
      </c>
      <c r="H146" s="272">
        <f t="shared" si="19"/>
        <v>1311849.9380879521</v>
      </c>
      <c r="I146" s="244"/>
      <c r="J146" s="236">
        <f t="shared" si="24"/>
        <v>3525.369505540963</v>
      </c>
      <c r="K146" s="265">
        <f t="shared" si="20"/>
        <v>0</v>
      </c>
      <c r="L146" s="272">
        <f t="shared" si="25"/>
        <v>0</v>
      </c>
      <c r="M146" s="265"/>
      <c r="N146" s="274">
        <f>Données!S146</f>
        <v>741618.3</v>
      </c>
      <c r="O146" s="274">
        <f>Données!T146</f>
        <v>159498</v>
      </c>
      <c r="P146" s="274">
        <f>Données!U146</f>
        <v>456211.5</v>
      </c>
      <c r="Q146" s="249">
        <f>Données!V146</f>
        <v>253103</v>
      </c>
      <c r="R146" s="236">
        <f t="shared" si="21"/>
        <v>754594.8</v>
      </c>
      <c r="S146" s="253">
        <f t="shared" si="22"/>
        <v>-1343952.7673347248</v>
      </c>
      <c r="T146" s="254">
        <f t="shared" si="26"/>
        <v>-589357.96733472473</v>
      </c>
    </row>
    <row r="147" spans="1:20" x14ac:dyDescent="0.25">
      <c r="A147" s="111">
        <f>Données!A147</f>
        <v>5645</v>
      </c>
      <c r="B147" s="123" t="str">
        <f>Données!B147</f>
        <v>Romanel-sur-Morges</v>
      </c>
      <c r="C147" s="252">
        <f>Données!C147</f>
        <v>462</v>
      </c>
      <c r="D147" s="249">
        <f>RFS!W147</f>
        <v>1742923.3526529477</v>
      </c>
      <c r="E147" s="265"/>
      <c r="F147" s="271">
        <f t="shared" si="18"/>
        <v>3772.5613693786745</v>
      </c>
      <c r="G147" s="265">
        <f t="shared" si="23"/>
        <v>309.82793803977211</v>
      </c>
      <c r="H147" s="272">
        <f t="shared" si="19"/>
        <v>114512.40589949978</v>
      </c>
      <c r="I147" s="244"/>
      <c r="J147" s="236">
        <f t="shared" si="24"/>
        <v>3524.699018946857</v>
      </c>
      <c r="K147" s="265">
        <f t="shared" si="20"/>
        <v>0</v>
      </c>
      <c r="L147" s="272">
        <f t="shared" si="25"/>
        <v>0</v>
      </c>
      <c r="M147" s="265"/>
      <c r="N147" s="274">
        <f>Données!S147</f>
        <v>97994.4</v>
      </c>
      <c r="O147" s="274">
        <f>Données!T147</f>
        <v>17095.099999999999</v>
      </c>
      <c r="P147" s="274">
        <f>Données!U147</f>
        <v>95963.75</v>
      </c>
      <c r="Q147" s="249">
        <f>Données!V147</f>
        <v>55492.9</v>
      </c>
      <c r="R147" s="236">
        <f t="shared" si="21"/>
        <v>122174.495</v>
      </c>
      <c r="S147" s="253">
        <f t="shared" si="22"/>
        <v>-118584.06770600514</v>
      </c>
      <c r="T147" s="254">
        <f t="shared" si="26"/>
        <v>3590.4272939948569</v>
      </c>
    </row>
    <row r="148" spans="1:20" x14ac:dyDescent="0.25">
      <c r="A148" s="111">
        <f>Données!A148</f>
        <v>5646</v>
      </c>
      <c r="B148" s="123" t="str">
        <f>Données!B148</f>
        <v>Saint-Prex</v>
      </c>
      <c r="C148" s="252">
        <f>Données!C148</f>
        <v>5922</v>
      </c>
      <c r="D148" s="249">
        <f>RFS!W148</f>
        <v>39439796.511225425</v>
      </c>
      <c r="E148" s="265"/>
      <c r="F148" s="271">
        <f t="shared" si="18"/>
        <v>6659.877830331885</v>
      </c>
      <c r="G148" s="265">
        <f t="shared" si="23"/>
        <v>3197.1443989929826</v>
      </c>
      <c r="H148" s="272">
        <f t="shared" si="19"/>
        <v>15146791.304669155</v>
      </c>
      <c r="I148" s="244"/>
      <c r="J148" s="236">
        <f t="shared" si="24"/>
        <v>4102.1623111374993</v>
      </c>
      <c r="K148" s="265">
        <f t="shared" si="20"/>
        <v>0</v>
      </c>
      <c r="L148" s="272">
        <f t="shared" si="25"/>
        <v>0</v>
      </c>
      <c r="M148" s="265"/>
      <c r="N148" s="274">
        <f>Données!S148</f>
        <v>1292845.1499999999</v>
      </c>
      <c r="O148" s="274">
        <f>Données!T148</f>
        <v>15719190.800000001</v>
      </c>
      <c r="P148" s="274">
        <f>Données!U148</f>
        <v>1592092.05</v>
      </c>
      <c r="Q148" s="249">
        <f>Données!V148</f>
        <v>721457.85</v>
      </c>
      <c r="R148" s="236">
        <f t="shared" si="21"/>
        <v>9518501.3550000004</v>
      </c>
      <c r="S148" s="253">
        <f t="shared" si="22"/>
        <v>-1520032.1405951567</v>
      </c>
      <c r="T148" s="254">
        <f t="shared" si="26"/>
        <v>7998469.2144048437</v>
      </c>
    </row>
    <row r="149" spans="1:20" x14ac:dyDescent="0.25">
      <c r="A149" s="111">
        <f>Données!A149</f>
        <v>5648</v>
      </c>
      <c r="B149" s="123" t="str">
        <f>Données!B149</f>
        <v>Saint-Sulpice</v>
      </c>
      <c r="C149" s="252">
        <f>Données!C149</f>
        <v>5193</v>
      </c>
      <c r="D149" s="249">
        <f>RFS!W149</f>
        <v>27224831.964395061</v>
      </c>
      <c r="E149" s="265"/>
      <c r="F149" s="271">
        <f t="shared" si="18"/>
        <v>5242.6019573262201</v>
      </c>
      <c r="G149" s="265">
        <f t="shared" si="23"/>
        <v>1779.8685259873178</v>
      </c>
      <c r="H149" s="272">
        <f t="shared" si="19"/>
        <v>7394285.8043617131</v>
      </c>
      <c r="I149" s="244"/>
      <c r="J149" s="236">
        <f t="shared" si="24"/>
        <v>3818.7071365363659</v>
      </c>
      <c r="K149" s="265">
        <f t="shared" si="20"/>
        <v>0</v>
      </c>
      <c r="L149" s="272">
        <f t="shared" si="25"/>
        <v>0</v>
      </c>
      <c r="M149" s="265"/>
      <c r="N149" s="274">
        <f>Données!S149</f>
        <v>1934707.8</v>
      </c>
      <c r="O149" s="274">
        <f>Données!T149</f>
        <v>32686</v>
      </c>
      <c r="P149" s="274">
        <f>Données!U149</f>
        <v>2028251.95</v>
      </c>
      <c r="Q149" s="249">
        <f>Données!V149</f>
        <v>102476.5</v>
      </c>
      <c r="R149" s="236">
        <f t="shared" si="21"/>
        <v>2028565.825</v>
      </c>
      <c r="S149" s="253">
        <f t="shared" si="22"/>
        <v>-1332915.7220720446</v>
      </c>
      <c r="T149" s="254">
        <f t="shared" si="26"/>
        <v>695650.10292795533</v>
      </c>
    </row>
    <row r="150" spans="1:20" x14ac:dyDescent="0.25">
      <c r="A150" s="111">
        <f>Données!A150</f>
        <v>5649</v>
      </c>
      <c r="B150" s="123" t="str">
        <f>Données!B150</f>
        <v>Tolochenaz</v>
      </c>
      <c r="C150" s="252">
        <f>Données!C150</f>
        <v>1928</v>
      </c>
      <c r="D150" s="249">
        <f>RFS!W150</f>
        <v>28647678.42927498</v>
      </c>
      <c r="E150" s="265"/>
      <c r="F150" s="271">
        <f t="shared" si="18"/>
        <v>14858.754372030591</v>
      </c>
      <c r="G150" s="265">
        <f t="shared" si="23"/>
        <v>11396.020940691689</v>
      </c>
      <c r="H150" s="272">
        <f t="shared" si="19"/>
        <v>17577222.698922861</v>
      </c>
      <c r="I150" s="244"/>
      <c r="J150" s="236">
        <f t="shared" si="24"/>
        <v>5741.9376194772403</v>
      </c>
      <c r="K150" s="265">
        <f t="shared" si="20"/>
        <v>0</v>
      </c>
      <c r="L150" s="272">
        <f t="shared" si="25"/>
        <v>0</v>
      </c>
      <c r="M150" s="265"/>
      <c r="N150" s="274">
        <f>Données!S150</f>
        <v>189750</v>
      </c>
      <c r="O150" s="274">
        <f>Données!T150</f>
        <v>31250</v>
      </c>
      <c r="P150" s="274">
        <f>Données!U150</f>
        <v>134399.9</v>
      </c>
      <c r="Q150" s="249">
        <f>Données!V150</f>
        <v>125211.2</v>
      </c>
      <c r="R150" s="236">
        <f t="shared" si="21"/>
        <v>215263.31</v>
      </c>
      <c r="S150" s="253">
        <f t="shared" si="22"/>
        <v>-494870.30852203007</v>
      </c>
      <c r="T150" s="254">
        <f t="shared" si="26"/>
        <v>-279606.99852203007</v>
      </c>
    </row>
    <row r="151" spans="1:20" x14ac:dyDescent="0.25">
      <c r="A151" s="111">
        <f>Données!A151</f>
        <v>5650</v>
      </c>
      <c r="B151" s="123" t="str">
        <f>Données!B151</f>
        <v>Vaux-sur-Morges</v>
      </c>
      <c r="C151" s="252">
        <f>Données!C151</f>
        <v>185</v>
      </c>
      <c r="D151" s="249">
        <f>RFS!W151</f>
        <v>7643389.189829248</v>
      </c>
      <c r="E151" s="265"/>
      <c r="F151" s="271">
        <f t="shared" si="18"/>
        <v>41315.617242320259</v>
      </c>
      <c r="G151" s="265">
        <f t="shared" si="23"/>
        <v>37852.883810981359</v>
      </c>
      <c r="H151" s="272">
        <f t="shared" si="19"/>
        <v>5602226.8040252412</v>
      </c>
      <c r="I151" s="244"/>
      <c r="J151" s="236">
        <f t="shared" si="24"/>
        <v>11033.310193535171</v>
      </c>
      <c r="K151" s="265">
        <f t="shared" si="20"/>
        <v>0</v>
      </c>
      <c r="L151" s="272">
        <f t="shared" si="25"/>
        <v>0</v>
      </c>
      <c r="M151" s="265"/>
      <c r="N151" s="274">
        <f>Données!S151</f>
        <v>29.45</v>
      </c>
      <c r="O151" s="274">
        <f>Données!T151</f>
        <v>0</v>
      </c>
      <c r="P151" s="274">
        <f>Données!U151</f>
        <v>0</v>
      </c>
      <c r="Q151" s="249">
        <f>Données!V151</f>
        <v>102.05</v>
      </c>
      <c r="R151" s="236">
        <f t="shared" si="21"/>
        <v>45.339999999999996</v>
      </c>
      <c r="S151" s="253">
        <f t="shared" si="22"/>
        <v>-47484.962176647081</v>
      </c>
      <c r="T151" s="254">
        <f t="shared" si="26"/>
        <v>-47439.622176647084</v>
      </c>
    </row>
    <row r="152" spans="1:20" x14ac:dyDescent="0.25">
      <c r="A152" s="111">
        <f>Données!A152</f>
        <v>5651</v>
      </c>
      <c r="B152" s="123" t="str">
        <f>Données!B152</f>
        <v>Villars-Sainte-Croix</v>
      </c>
      <c r="C152" s="252">
        <f>Données!C152</f>
        <v>943</v>
      </c>
      <c r="D152" s="249">
        <f>RFS!W152</f>
        <v>3590699.5797833102</v>
      </c>
      <c r="E152" s="265"/>
      <c r="F152" s="271">
        <f t="shared" si="18"/>
        <v>3807.7408057087064</v>
      </c>
      <c r="G152" s="265">
        <f t="shared" si="23"/>
        <v>345.00737436980398</v>
      </c>
      <c r="H152" s="272">
        <f t="shared" si="19"/>
        <v>260273.56322458014</v>
      </c>
      <c r="I152" s="244"/>
      <c r="J152" s="236">
        <f t="shared" si="24"/>
        <v>3531.7349062128633</v>
      </c>
      <c r="K152" s="265">
        <f t="shared" si="20"/>
        <v>0</v>
      </c>
      <c r="L152" s="272">
        <f t="shared" si="25"/>
        <v>0</v>
      </c>
      <c r="M152" s="265"/>
      <c r="N152" s="274">
        <f>Données!S152</f>
        <v>204860.4</v>
      </c>
      <c r="O152" s="274">
        <f>Données!T152</f>
        <v>0</v>
      </c>
      <c r="P152" s="274">
        <f>Données!U152</f>
        <v>191014.15</v>
      </c>
      <c r="Q152" s="249">
        <f>Données!V152</f>
        <v>218651.9</v>
      </c>
      <c r="R152" s="236">
        <f t="shared" si="21"/>
        <v>263532.84499999997</v>
      </c>
      <c r="S152" s="253">
        <f t="shared" si="22"/>
        <v>-242044.96936528754</v>
      </c>
      <c r="T152" s="254">
        <f t="shared" si="26"/>
        <v>21487.875634712429</v>
      </c>
    </row>
    <row r="153" spans="1:20" x14ac:dyDescent="0.25">
      <c r="A153" s="111">
        <f>Données!A153</f>
        <v>5652</v>
      </c>
      <c r="B153" s="123" t="str">
        <f>Données!B153</f>
        <v>Villars-sous-Yens</v>
      </c>
      <c r="C153" s="252">
        <f>Données!C153</f>
        <v>603</v>
      </c>
      <c r="D153" s="249">
        <f>RFS!W153</f>
        <v>1618190.2537269071</v>
      </c>
      <c r="E153" s="265"/>
      <c r="F153" s="271">
        <f t="shared" si="18"/>
        <v>2683.5659265786185</v>
      </c>
      <c r="G153" s="265">
        <f t="shared" si="23"/>
        <v>-779.16750476028392</v>
      </c>
      <c r="H153" s="272">
        <f t="shared" si="19"/>
        <v>-375870.40429636097</v>
      </c>
      <c r="I153" s="244"/>
      <c r="J153" s="236">
        <f t="shared" si="24"/>
        <v>3306.8999303868459</v>
      </c>
      <c r="K153" s="265">
        <f t="shared" si="20"/>
        <v>0</v>
      </c>
      <c r="L153" s="272">
        <f t="shared" si="25"/>
        <v>0</v>
      </c>
      <c r="M153" s="265"/>
      <c r="N153" s="274">
        <f>Données!S153</f>
        <v>105443.45</v>
      </c>
      <c r="O153" s="274">
        <f>Données!T153</f>
        <v>3189.9</v>
      </c>
      <c r="P153" s="274">
        <f>Données!U153</f>
        <v>60834.35</v>
      </c>
      <c r="Q153" s="249">
        <f>Données!V153</f>
        <v>370.85</v>
      </c>
      <c r="R153" s="236">
        <f t="shared" si="21"/>
        <v>84845.104999999996</v>
      </c>
      <c r="S153" s="253">
        <f t="shared" si="22"/>
        <v>-154775.30914874695</v>
      </c>
      <c r="T153" s="254">
        <f t="shared" si="26"/>
        <v>-69930.204148746954</v>
      </c>
    </row>
    <row r="154" spans="1:20" x14ac:dyDescent="0.25">
      <c r="A154" s="111">
        <f>Données!A154</f>
        <v>5653</v>
      </c>
      <c r="B154" s="123" t="str">
        <f>Données!B154</f>
        <v>Vufflens-le-Château</v>
      </c>
      <c r="C154" s="252">
        <f>Données!C154</f>
        <v>887</v>
      </c>
      <c r="D154" s="249">
        <f>RFS!W154</f>
        <v>4898899.8475587517</v>
      </c>
      <c r="E154" s="265"/>
      <c r="F154" s="271">
        <f t="shared" si="18"/>
        <v>5522.9987007426735</v>
      </c>
      <c r="G154" s="265">
        <f t="shared" si="23"/>
        <v>2060.2652694037711</v>
      </c>
      <c r="H154" s="272">
        <f t="shared" si="19"/>
        <v>1461964.2351689162</v>
      </c>
      <c r="I154" s="244"/>
      <c r="J154" s="236">
        <f t="shared" si="24"/>
        <v>3874.7864852196567</v>
      </c>
      <c r="K154" s="265">
        <f t="shared" si="20"/>
        <v>0</v>
      </c>
      <c r="L154" s="272">
        <f t="shared" si="25"/>
        <v>0</v>
      </c>
      <c r="M154" s="265"/>
      <c r="N154" s="274">
        <f>Données!S154</f>
        <v>266409.8</v>
      </c>
      <c r="O154" s="274">
        <f>Données!T154</f>
        <v>1560000.4</v>
      </c>
      <c r="P154" s="274">
        <f>Données!U154</f>
        <v>427325.55</v>
      </c>
      <c r="Q154" s="249">
        <f>Données!V154</f>
        <v>2148.3000000000002</v>
      </c>
      <c r="R154" s="236">
        <f t="shared" si="21"/>
        <v>1127512.365</v>
      </c>
      <c r="S154" s="253">
        <f t="shared" si="22"/>
        <v>-227671.14297668086</v>
      </c>
      <c r="T154" s="254">
        <f t="shared" si="26"/>
        <v>899841.2220233191</v>
      </c>
    </row>
    <row r="155" spans="1:20" x14ac:dyDescent="0.25">
      <c r="A155" s="111">
        <f>Données!A155</f>
        <v>5654</v>
      </c>
      <c r="B155" s="123" t="str">
        <f>Données!B155</f>
        <v>Vullierens</v>
      </c>
      <c r="C155" s="252">
        <f>Données!C155</f>
        <v>577</v>
      </c>
      <c r="D155" s="249">
        <f>RFS!W155</f>
        <v>1706754.1984372789</v>
      </c>
      <c r="E155" s="265"/>
      <c r="F155" s="271">
        <f t="shared" si="18"/>
        <v>2957.9795466850587</v>
      </c>
      <c r="G155" s="265">
        <f t="shared" si="23"/>
        <v>-504.75388465384367</v>
      </c>
      <c r="H155" s="272">
        <f t="shared" si="19"/>
        <v>-232994.39315621424</v>
      </c>
      <c r="I155" s="244"/>
      <c r="J155" s="236">
        <f t="shared" si="24"/>
        <v>3361.7826544081336</v>
      </c>
      <c r="K155" s="265">
        <f t="shared" si="20"/>
        <v>0</v>
      </c>
      <c r="L155" s="272">
        <f t="shared" si="25"/>
        <v>0</v>
      </c>
      <c r="M155" s="265"/>
      <c r="N155" s="274">
        <f>Données!S155</f>
        <v>97484.45</v>
      </c>
      <c r="O155" s="274">
        <f>Données!T155</f>
        <v>0</v>
      </c>
      <c r="P155" s="274">
        <f>Données!U155</f>
        <v>48468.35</v>
      </c>
      <c r="Q155" s="249">
        <f>Données!V155</f>
        <v>5449.1</v>
      </c>
      <c r="R155" s="236">
        <f t="shared" si="21"/>
        <v>74611.12999999999</v>
      </c>
      <c r="S155" s="253">
        <f t="shared" si="22"/>
        <v>-148101.74689689386</v>
      </c>
      <c r="T155" s="254">
        <f t="shared" si="26"/>
        <v>-73490.616896893873</v>
      </c>
    </row>
    <row r="156" spans="1:20" x14ac:dyDescent="0.25">
      <c r="A156" s="111">
        <f>Données!A156</f>
        <v>5655</v>
      </c>
      <c r="B156" s="123" t="str">
        <f>Données!B156</f>
        <v>Yens</v>
      </c>
      <c r="C156" s="252">
        <f>Données!C156</f>
        <v>1481</v>
      </c>
      <c r="D156" s="249">
        <f>RFS!W156</f>
        <v>6986015.0133579476</v>
      </c>
      <c r="E156" s="265"/>
      <c r="F156" s="271">
        <f t="shared" si="18"/>
        <v>4717.0931893031384</v>
      </c>
      <c r="G156" s="265">
        <f t="shared" si="23"/>
        <v>1254.359757964236</v>
      </c>
      <c r="H156" s="272">
        <f t="shared" si="19"/>
        <v>1486165.4412360268</v>
      </c>
      <c r="I156" s="244"/>
      <c r="J156" s="236">
        <f t="shared" si="24"/>
        <v>3713.6053829317493</v>
      </c>
      <c r="K156" s="265">
        <f t="shared" si="20"/>
        <v>0</v>
      </c>
      <c r="L156" s="272">
        <f t="shared" si="25"/>
        <v>0</v>
      </c>
      <c r="M156" s="265"/>
      <c r="N156" s="274">
        <f>Données!S156</f>
        <v>288510.84999999998</v>
      </c>
      <c r="O156" s="274">
        <f>Données!T156</f>
        <v>907642.7</v>
      </c>
      <c r="P156" s="274">
        <f>Données!U156</f>
        <v>143372.65</v>
      </c>
      <c r="Q156" s="249">
        <f>Données!V156</f>
        <v>75428.600000000006</v>
      </c>
      <c r="R156" s="236">
        <f t="shared" si="21"/>
        <v>692391.67999999982</v>
      </c>
      <c r="S156" s="253">
        <f t="shared" si="22"/>
        <v>-380136.37288440176</v>
      </c>
      <c r="T156" s="254">
        <f t="shared" si="26"/>
        <v>312255.30711559806</v>
      </c>
    </row>
    <row r="157" spans="1:20" x14ac:dyDescent="0.25">
      <c r="A157" s="111">
        <f>Données!A157</f>
        <v>5656</v>
      </c>
      <c r="B157" s="123" t="str">
        <f>Données!B157</f>
        <v>Hautemorges</v>
      </c>
      <c r="C157" s="252">
        <f>Données!C157</f>
        <v>4426</v>
      </c>
      <c r="D157" s="249">
        <f>RFS!W157</f>
        <v>12120679.436861653</v>
      </c>
      <c r="E157" s="265"/>
      <c r="F157" s="271">
        <f t="shared" si="18"/>
        <v>2738.5177218395061</v>
      </c>
      <c r="G157" s="265">
        <f t="shared" si="23"/>
        <v>-724.21570949939633</v>
      </c>
      <c r="H157" s="272">
        <f t="shared" si="19"/>
        <v>-2564302.9841954624</v>
      </c>
      <c r="I157" s="244"/>
      <c r="J157" s="236">
        <f t="shared" si="24"/>
        <v>3317.890289439023</v>
      </c>
      <c r="K157" s="265">
        <f t="shared" si="20"/>
        <v>0</v>
      </c>
      <c r="L157" s="272">
        <f t="shared" si="25"/>
        <v>0</v>
      </c>
      <c r="M157" s="265"/>
      <c r="N157" s="274">
        <f>Données!S157</f>
        <v>705231.9</v>
      </c>
      <c r="O157" s="274">
        <f>Données!T157</f>
        <v>131257.4</v>
      </c>
      <c r="P157" s="274">
        <f>Données!U157</f>
        <v>504106.15</v>
      </c>
      <c r="Q157" s="249">
        <f>Données!V157</f>
        <v>108019.3</v>
      </c>
      <c r="R157" s="236">
        <f t="shared" si="21"/>
        <v>702703.51500000013</v>
      </c>
      <c r="S157" s="253">
        <f t="shared" si="22"/>
        <v>-1136045.6356423781</v>
      </c>
      <c r="T157" s="254">
        <f t="shared" si="26"/>
        <v>-433342.12064237799</v>
      </c>
    </row>
    <row r="158" spans="1:20" x14ac:dyDescent="0.25">
      <c r="A158" s="111">
        <f>Données!A158</f>
        <v>5661</v>
      </c>
      <c r="B158" s="123" t="str">
        <f>Données!B158</f>
        <v>Boulens</v>
      </c>
      <c r="C158" s="252">
        <f>Données!C158</f>
        <v>371</v>
      </c>
      <c r="D158" s="249">
        <f>RFS!W158</f>
        <v>831579.81878688128</v>
      </c>
      <c r="E158" s="265"/>
      <c r="F158" s="271">
        <f t="shared" si="18"/>
        <v>2241.455037161405</v>
      </c>
      <c r="G158" s="265">
        <f t="shared" si="23"/>
        <v>-1221.2783941774974</v>
      </c>
      <c r="H158" s="272">
        <f t="shared" si="19"/>
        <v>-362475.42739188124</v>
      </c>
      <c r="I158" s="244"/>
      <c r="J158" s="236">
        <f t="shared" si="24"/>
        <v>3218.4777525034028</v>
      </c>
      <c r="K158" s="265">
        <f t="shared" si="20"/>
        <v>0</v>
      </c>
      <c r="L158" s="272">
        <f t="shared" si="25"/>
        <v>0</v>
      </c>
      <c r="M158" s="265"/>
      <c r="N158" s="274">
        <f>Données!S158</f>
        <v>31971.5</v>
      </c>
      <c r="O158" s="274">
        <f>Données!T158</f>
        <v>0</v>
      </c>
      <c r="P158" s="274">
        <f>Données!U158</f>
        <v>85152.1</v>
      </c>
      <c r="Q158" s="249">
        <f>Données!V158</f>
        <v>8774.75</v>
      </c>
      <c r="R158" s="236">
        <f t="shared" si="21"/>
        <v>61194.225000000006</v>
      </c>
      <c r="S158" s="253">
        <f t="shared" si="22"/>
        <v>-95226.599824519275</v>
      </c>
      <c r="T158" s="254">
        <f t="shared" si="26"/>
        <v>-34032.374824519269</v>
      </c>
    </row>
    <row r="159" spans="1:20" x14ac:dyDescent="0.25">
      <c r="A159" s="111">
        <f>Données!A159</f>
        <v>5663</v>
      </c>
      <c r="B159" s="123" t="str">
        <f>Données!B159</f>
        <v>Bussy-sur-Moudon</v>
      </c>
      <c r="C159" s="252">
        <f>Données!C159</f>
        <v>267</v>
      </c>
      <c r="D159" s="249">
        <f>RFS!W159</f>
        <v>473719.3932768355</v>
      </c>
      <c r="E159" s="265"/>
      <c r="F159" s="271">
        <f t="shared" si="18"/>
        <v>1774.229937366425</v>
      </c>
      <c r="G159" s="265">
        <f t="shared" si="23"/>
        <v>-1688.5034939724774</v>
      </c>
      <c r="H159" s="272">
        <f t="shared" si="19"/>
        <v>-360664.3463125212</v>
      </c>
      <c r="I159" s="244"/>
      <c r="J159" s="236">
        <f t="shared" si="24"/>
        <v>3125.0327325444073</v>
      </c>
      <c r="K159" s="265">
        <f t="shared" si="20"/>
        <v>0</v>
      </c>
      <c r="L159" s="272">
        <f t="shared" si="25"/>
        <v>0</v>
      </c>
      <c r="M159" s="265"/>
      <c r="N159" s="274">
        <f>Données!S159</f>
        <v>24530</v>
      </c>
      <c r="O159" s="274">
        <f>Données!T159</f>
        <v>0</v>
      </c>
      <c r="P159" s="274">
        <f>Données!U159</f>
        <v>8759.7999999999993</v>
      </c>
      <c r="Q159" s="249">
        <f>Données!V159</f>
        <v>0</v>
      </c>
      <c r="R159" s="236">
        <f t="shared" si="21"/>
        <v>16644.900000000001</v>
      </c>
      <c r="S159" s="253">
        <f t="shared" si="22"/>
        <v>-68532.350817106868</v>
      </c>
      <c r="T159" s="254">
        <f t="shared" si="26"/>
        <v>-51887.450817106866</v>
      </c>
    </row>
    <row r="160" spans="1:20" x14ac:dyDescent="0.25">
      <c r="A160" s="111">
        <f>Données!A160</f>
        <v>5665</v>
      </c>
      <c r="B160" s="123" t="str">
        <f>Données!B160</f>
        <v>Chavannes-sur-Moudon</v>
      </c>
      <c r="C160" s="252">
        <f>Données!C160</f>
        <v>232</v>
      </c>
      <c r="D160" s="249">
        <f>RFS!W160</f>
        <v>425711.77342365542</v>
      </c>
      <c r="E160" s="265"/>
      <c r="F160" s="271">
        <f t="shared" si="18"/>
        <v>1834.9645406192044</v>
      </c>
      <c r="G160" s="265">
        <f t="shared" si="23"/>
        <v>-1627.768890719698</v>
      </c>
      <c r="H160" s="272">
        <f t="shared" si="19"/>
        <v>-302113.90611757594</v>
      </c>
      <c r="I160" s="244"/>
      <c r="J160" s="236">
        <f t="shared" si="24"/>
        <v>3137.1796531949626</v>
      </c>
      <c r="K160" s="265">
        <f t="shared" si="20"/>
        <v>0</v>
      </c>
      <c r="L160" s="272">
        <f t="shared" si="25"/>
        <v>0</v>
      </c>
      <c r="M160" s="265"/>
      <c r="N160" s="274">
        <f>Données!S160</f>
        <v>10179.75</v>
      </c>
      <c r="O160" s="274">
        <f>Données!T160</f>
        <v>0</v>
      </c>
      <c r="P160" s="274">
        <f>Données!U160</f>
        <v>16457.900000000001</v>
      </c>
      <c r="Q160" s="249">
        <f>Données!V160</f>
        <v>0</v>
      </c>
      <c r="R160" s="236">
        <f t="shared" si="21"/>
        <v>13318.825000000001</v>
      </c>
      <c r="S160" s="253">
        <f t="shared" si="22"/>
        <v>-59548.70932422769</v>
      </c>
      <c r="T160" s="254">
        <f t="shared" si="26"/>
        <v>-46229.884324227693</v>
      </c>
    </row>
    <row r="161" spans="1:20" x14ac:dyDescent="0.25">
      <c r="A161" s="111">
        <f>Données!A161</f>
        <v>5669</v>
      </c>
      <c r="B161" s="123" t="str">
        <f>Données!B161</f>
        <v>Curtilles</v>
      </c>
      <c r="C161" s="252">
        <f>Données!C161</f>
        <v>302</v>
      </c>
      <c r="D161" s="249">
        <f>RFS!W161</f>
        <v>661071.25959024555</v>
      </c>
      <c r="E161" s="265"/>
      <c r="F161" s="271">
        <f t="shared" si="18"/>
        <v>2188.9776807624025</v>
      </c>
      <c r="G161" s="265">
        <f t="shared" si="23"/>
        <v>-1273.7557505764998</v>
      </c>
      <c r="H161" s="272">
        <f t="shared" si="19"/>
        <v>-307739.38933928241</v>
      </c>
      <c r="I161" s="244"/>
      <c r="J161" s="236">
        <f t="shared" si="24"/>
        <v>3207.9822812236025</v>
      </c>
      <c r="K161" s="265">
        <f t="shared" si="20"/>
        <v>0</v>
      </c>
      <c r="L161" s="272">
        <f t="shared" si="25"/>
        <v>0</v>
      </c>
      <c r="M161" s="265"/>
      <c r="N161" s="274">
        <f>Données!S161</f>
        <v>4567.5</v>
      </c>
      <c r="O161" s="274">
        <f>Données!T161</f>
        <v>0</v>
      </c>
      <c r="P161" s="274">
        <f>Données!U161</f>
        <v>32140.45</v>
      </c>
      <c r="Q161" s="249">
        <f>Données!V161</f>
        <v>0</v>
      </c>
      <c r="R161" s="236">
        <f t="shared" si="21"/>
        <v>18353.974999999999</v>
      </c>
      <c r="S161" s="253">
        <f t="shared" si="22"/>
        <v>-77515.992309986046</v>
      </c>
      <c r="T161" s="254">
        <f t="shared" si="26"/>
        <v>-59162.017309986048</v>
      </c>
    </row>
    <row r="162" spans="1:20" x14ac:dyDescent="0.25">
      <c r="A162" s="111">
        <f>Données!A162</f>
        <v>5671</v>
      </c>
      <c r="B162" s="123" t="str">
        <f>Données!B162</f>
        <v>Dompierre</v>
      </c>
      <c r="C162" s="252">
        <f>Données!C162</f>
        <v>242</v>
      </c>
      <c r="D162" s="249">
        <f>RFS!W162</f>
        <v>356956.3605339473</v>
      </c>
      <c r="E162" s="265"/>
      <c r="F162" s="271">
        <f t="shared" si="18"/>
        <v>1475.0262831981292</v>
      </c>
      <c r="G162" s="265">
        <f t="shared" si="23"/>
        <v>-1987.7071481407731</v>
      </c>
      <c r="H162" s="272">
        <f t="shared" si="19"/>
        <v>-384820.10388005374</v>
      </c>
      <c r="I162" s="244"/>
      <c r="J162" s="236">
        <f t="shared" si="24"/>
        <v>3065.1920017107477</v>
      </c>
      <c r="K162" s="265">
        <f t="shared" si="20"/>
        <v>-51.26808649426448</v>
      </c>
      <c r="L162" s="272">
        <f t="shared" si="25"/>
        <v>-12407</v>
      </c>
      <c r="M162" s="265"/>
      <c r="N162" s="274">
        <f>Données!S162</f>
        <v>14575</v>
      </c>
      <c r="O162" s="274">
        <f>Données!T162</f>
        <v>56719.3</v>
      </c>
      <c r="P162" s="274">
        <f>Données!U162</f>
        <v>17376.599999999999</v>
      </c>
      <c r="Q162" s="249">
        <f>Données!V162</f>
        <v>0</v>
      </c>
      <c r="R162" s="236">
        <f t="shared" si="21"/>
        <v>44335.45</v>
      </c>
      <c r="S162" s="253">
        <f t="shared" si="22"/>
        <v>-62115.464036478879</v>
      </c>
      <c r="T162" s="254">
        <f t="shared" si="26"/>
        <v>-17780.014036478882</v>
      </c>
    </row>
    <row r="163" spans="1:20" x14ac:dyDescent="0.25">
      <c r="A163" s="111">
        <f>Données!A163</f>
        <v>5673</v>
      </c>
      <c r="B163" s="123" t="str">
        <f>Données!B163</f>
        <v>Hermenches</v>
      </c>
      <c r="C163" s="252">
        <f>Données!C163</f>
        <v>364</v>
      </c>
      <c r="D163" s="249">
        <f>RFS!W163</f>
        <v>648790.14195136551</v>
      </c>
      <c r="E163" s="265"/>
      <c r="F163" s="271">
        <f t="shared" si="18"/>
        <v>1782.3904998663888</v>
      </c>
      <c r="G163" s="265">
        <f t="shared" si="23"/>
        <v>-1680.3429314725136</v>
      </c>
      <c r="H163" s="272">
        <f t="shared" si="19"/>
        <v>-489315.86164479598</v>
      </c>
      <c r="I163" s="244"/>
      <c r="J163" s="236">
        <f t="shared" si="24"/>
        <v>3126.6648450443995</v>
      </c>
      <c r="K163" s="265">
        <f t="shared" si="20"/>
        <v>0</v>
      </c>
      <c r="L163" s="272">
        <f t="shared" si="25"/>
        <v>0</v>
      </c>
      <c r="M163" s="265"/>
      <c r="N163" s="274">
        <f>Données!S163</f>
        <v>4914.2</v>
      </c>
      <c r="O163" s="274">
        <f>Données!T163</f>
        <v>2.8</v>
      </c>
      <c r="P163" s="274">
        <f>Données!U163</f>
        <v>7632.1</v>
      </c>
      <c r="Q163" s="249">
        <f>Données!V163</f>
        <v>14756.15</v>
      </c>
      <c r="R163" s="236">
        <f t="shared" si="21"/>
        <v>10701.395</v>
      </c>
      <c r="S163" s="253">
        <f t="shared" si="22"/>
        <v>-93429.871525943439</v>
      </c>
      <c r="T163" s="254">
        <f t="shared" si="26"/>
        <v>-82728.476525943435</v>
      </c>
    </row>
    <row r="164" spans="1:20" x14ac:dyDescent="0.25">
      <c r="A164" s="111">
        <f>Données!A164</f>
        <v>5674</v>
      </c>
      <c r="B164" s="123" t="str">
        <f>Données!B164</f>
        <v>Lovatens</v>
      </c>
      <c r="C164" s="252">
        <f>Données!C164</f>
        <v>152</v>
      </c>
      <c r="D164" s="249">
        <f>RFS!W164</f>
        <v>355289.19166507153</v>
      </c>
      <c r="E164" s="265"/>
      <c r="F164" s="271">
        <f t="shared" si="18"/>
        <v>2337.4288925333653</v>
      </c>
      <c r="G164" s="265">
        <f t="shared" si="23"/>
        <v>-1125.304538805537</v>
      </c>
      <c r="H164" s="272">
        <f t="shared" si="19"/>
        <v>-136837.03191875332</v>
      </c>
      <c r="I164" s="244"/>
      <c r="J164" s="236">
        <f t="shared" si="24"/>
        <v>3237.6725235777949</v>
      </c>
      <c r="K164" s="265">
        <f t="shared" si="20"/>
        <v>0</v>
      </c>
      <c r="L164" s="272">
        <f t="shared" si="25"/>
        <v>0</v>
      </c>
      <c r="M164" s="265"/>
      <c r="N164" s="274">
        <f>Données!S164</f>
        <v>3888.5</v>
      </c>
      <c r="O164" s="274">
        <f>Données!T164</f>
        <v>0</v>
      </c>
      <c r="P164" s="274">
        <f>Données!U164</f>
        <v>11175.25</v>
      </c>
      <c r="Q164" s="249">
        <f>Données!V164</f>
        <v>0</v>
      </c>
      <c r="R164" s="236">
        <f t="shared" si="21"/>
        <v>7531.875</v>
      </c>
      <c r="S164" s="253">
        <f t="shared" si="22"/>
        <v>-39014.671626218136</v>
      </c>
      <c r="T164" s="254">
        <f t="shared" si="26"/>
        <v>-31482.796626218136</v>
      </c>
    </row>
    <row r="165" spans="1:20" x14ac:dyDescent="0.25">
      <c r="A165" s="111">
        <f>Données!A165</f>
        <v>5675</v>
      </c>
      <c r="B165" s="123" t="str">
        <f>Données!B165</f>
        <v>Lucens</v>
      </c>
      <c r="C165" s="252">
        <f>Données!C165</f>
        <v>4892</v>
      </c>
      <c r="D165" s="249">
        <f>RFS!W165</f>
        <v>6441005.5496634943</v>
      </c>
      <c r="E165" s="265"/>
      <c r="F165" s="271">
        <f t="shared" si="18"/>
        <v>1316.6405457202563</v>
      </c>
      <c r="G165" s="265">
        <f t="shared" si="23"/>
        <v>-2146.0928856186461</v>
      </c>
      <c r="H165" s="272">
        <f t="shared" si="19"/>
        <v>-8398949.1171571333</v>
      </c>
      <c r="I165" s="244"/>
      <c r="J165" s="236">
        <f t="shared" si="24"/>
        <v>3033.5148542151733</v>
      </c>
      <c r="K165" s="265">
        <f t="shared" si="20"/>
        <v>-82.945233989838925</v>
      </c>
      <c r="L165" s="272">
        <f t="shared" si="25"/>
        <v>-405768</v>
      </c>
      <c r="M165" s="265"/>
      <c r="N165" s="274">
        <f>Données!S165</f>
        <v>786922.8</v>
      </c>
      <c r="O165" s="274">
        <f>Données!T165</f>
        <v>75526.7</v>
      </c>
      <c r="P165" s="274">
        <f>Données!U165</f>
        <v>205709.4</v>
      </c>
      <c r="Q165" s="249">
        <f>Données!V165</f>
        <v>14333.9</v>
      </c>
      <c r="R165" s="236">
        <f t="shared" si="21"/>
        <v>538379.62</v>
      </c>
      <c r="S165" s="253">
        <f t="shared" si="22"/>
        <v>-1255656.4052332838</v>
      </c>
      <c r="T165" s="254">
        <f t="shared" si="26"/>
        <v>-717276.78523328376</v>
      </c>
    </row>
    <row r="166" spans="1:20" x14ac:dyDescent="0.25">
      <c r="A166" s="111">
        <f>Données!A166</f>
        <v>5678</v>
      </c>
      <c r="B166" s="123" t="str">
        <f>Données!B166</f>
        <v>Moudon</v>
      </c>
      <c r="C166" s="252">
        <f>Données!C166</f>
        <v>6847</v>
      </c>
      <c r="D166" s="249">
        <f>RFS!W166</f>
        <v>9724093.6375828702</v>
      </c>
      <c r="E166" s="265"/>
      <c r="F166" s="271">
        <f t="shared" si="18"/>
        <v>1420.1976979089923</v>
      </c>
      <c r="G166" s="265">
        <f t="shared" si="23"/>
        <v>-2042.5357334299101</v>
      </c>
      <c r="H166" s="272">
        <f t="shared" si="19"/>
        <v>-11188193.733435676</v>
      </c>
      <c r="I166" s="244"/>
      <c r="J166" s="236">
        <f t="shared" si="24"/>
        <v>3054.2262846529202</v>
      </c>
      <c r="K166" s="265">
        <f t="shared" si="20"/>
        <v>-62.233803552092013</v>
      </c>
      <c r="L166" s="272">
        <f t="shared" si="25"/>
        <v>-426115</v>
      </c>
      <c r="M166" s="265"/>
      <c r="N166" s="274">
        <f>Données!S166</f>
        <v>599288.69999999995</v>
      </c>
      <c r="O166" s="274">
        <f>Données!T166</f>
        <v>312890.2</v>
      </c>
      <c r="P166" s="274">
        <f>Données!U166</f>
        <v>357458.55</v>
      </c>
      <c r="Q166" s="249">
        <f>Données!V166</f>
        <v>238397.75</v>
      </c>
      <c r="R166" s="236">
        <f t="shared" si="21"/>
        <v>706338.04999999993</v>
      </c>
      <c r="S166" s="253">
        <f t="shared" si="22"/>
        <v>-1757456.9514783921</v>
      </c>
      <c r="T166" s="254">
        <f t="shared" si="26"/>
        <v>-1051118.9014783921</v>
      </c>
    </row>
    <row r="167" spans="1:20" x14ac:dyDescent="0.25">
      <c r="A167" s="111">
        <f>Données!A167</f>
        <v>5680</v>
      </c>
      <c r="B167" s="123" t="str">
        <f>Données!B167</f>
        <v>Ogens</v>
      </c>
      <c r="C167" s="252">
        <f>Données!C167</f>
        <v>342</v>
      </c>
      <c r="D167" s="249">
        <f>RFS!W167</f>
        <v>729782.41757257865</v>
      </c>
      <c r="E167" s="265"/>
      <c r="F167" s="271">
        <f t="shared" si="18"/>
        <v>2133.8667180484754</v>
      </c>
      <c r="G167" s="265">
        <f t="shared" si="23"/>
        <v>-1328.866713290427</v>
      </c>
      <c r="H167" s="272">
        <f t="shared" si="19"/>
        <v>-363577.93275626085</v>
      </c>
      <c r="I167" s="244"/>
      <c r="J167" s="236">
        <f t="shared" si="24"/>
        <v>3196.9600886808171</v>
      </c>
      <c r="K167" s="265">
        <f t="shared" si="20"/>
        <v>0</v>
      </c>
      <c r="L167" s="272">
        <f t="shared" si="25"/>
        <v>0</v>
      </c>
      <c r="M167" s="265"/>
      <c r="N167" s="274">
        <f>Données!S167</f>
        <v>40458</v>
      </c>
      <c r="O167" s="274">
        <f>Données!T167</f>
        <v>388.6</v>
      </c>
      <c r="P167" s="274">
        <f>Données!U167</f>
        <v>43980.65</v>
      </c>
      <c r="Q167" s="249">
        <f>Données!V167</f>
        <v>0</v>
      </c>
      <c r="R167" s="236">
        <f t="shared" si="21"/>
        <v>42413.625</v>
      </c>
      <c r="S167" s="253">
        <f t="shared" si="22"/>
        <v>-87783.011158990819</v>
      </c>
      <c r="T167" s="254">
        <f t="shared" si="26"/>
        <v>-45369.386158990819</v>
      </c>
    </row>
    <row r="168" spans="1:20" x14ac:dyDescent="0.25">
      <c r="A168" s="111">
        <f>Données!A168</f>
        <v>5683</v>
      </c>
      <c r="B168" s="123" t="str">
        <f>Données!B168</f>
        <v>Prévonloup</v>
      </c>
      <c r="C168" s="252">
        <f>Données!C168</f>
        <v>249</v>
      </c>
      <c r="D168" s="249">
        <f>RFS!W168</f>
        <v>372986.37658512505</v>
      </c>
      <c r="E168" s="265"/>
      <c r="F168" s="271">
        <f t="shared" si="18"/>
        <v>1497.937255361948</v>
      </c>
      <c r="G168" s="265">
        <f t="shared" si="23"/>
        <v>-1964.7961759769544</v>
      </c>
      <c r="H168" s="272">
        <f t="shared" si="19"/>
        <v>-391387.39825460932</v>
      </c>
      <c r="I168" s="244"/>
      <c r="J168" s="236">
        <f t="shared" si="24"/>
        <v>3069.7741961435117</v>
      </c>
      <c r="K168" s="265">
        <f t="shared" si="20"/>
        <v>-46.685892061500454</v>
      </c>
      <c r="L168" s="272">
        <f t="shared" si="25"/>
        <v>-11625</v>
      </c>
      <c r="M168" s="265"/>
      <c r="N168" s="274">
        <f>Données!S168</f>
        <v>39047.85</v>
      </c>
      <c r="O168" s="274">
        <f>Données!T168</f>
        <v>0</v>
      </c>
      <c r="P168" s="274">
        <f>Données!U168</f>
        <v>24291.599999999999</v>
      </c>
      <c r="Q168" s="249">
        <f>Données!V168</f>
        <v>0</v>
      </c>
      <c r="R168" s="236">
        <f t="shared" si="21"/>
        <v>31669.724999999999</v>
      </c>
      <c r="S168" s="253">
        <f t="shared" si="22"/>
        <v>-63912.192335054715</v>
      </c>
      <c r="T168" s="254">
        <f t="shared" si="26"/>
        <v>-32242.467335054716</v>
      </c>
    </row>
    <row r="169" spans="1:20" x14ac:dyDescent="0.25">
      <c r="A169" s="111">
        <f>Données!A169</f>
        <v>5684</v>
      </c>
      <c r="B169" s="123" t="str">
        <f>Données!B169</f>
        <v>Rossenges</v>
      </c>
      <c r="C169" s="252">
        <f>Données!C169</f>
        <v>82</v>
      </c>
      <c r="D169" s="249">
        <f>RFS!W169</f>
        <v>76765.041011904905</v>
      </c>
      <c r="E169" s="265"/>
      <c r="F169" s="271">
        <f t="shared" si="18"/>
        <v>936.15903673054765</v>
      </c>
      <c r="G169" s="265">
        <f t="shared" si="23"/>
        <v>-2526.5743946083549</v>
      </c>
      <c r="H169" s="272">
        <f t="shared" si="19"/>
        <v>-165743.28028630809</v>
      </c>
      <c r="I169" s="244"/>
      <c r="J169" s="236">
        <f t="shared" si="24"/>
        <v>2957.4185524172312</v>
      </c>
      <c r="K169" s="265">
        <f t="shared" si="20"/>
        <v>-159.04153578778096</v>
      </c>
      <c r="L169" s="272">
        <f t="shared" si="25"/>
        <v>-13041</v>
      </c>
      <c r="M169" s="265"/>
      <c r="N169" s="274">
        <f>Données!S169</f>
        <v>0</v>
      </c>
      <c r="O169" s="274">
        <f>Données!T169</f>
        <v>0</v>
      </c>
      <c r="P169" s="274">
        <f>Données!U169</f>
        <v>0</v>
      </c>
      <c r="Q169" s="249">
        <f>Données!V169</f>
        <v>0</v>
      </c>
      <c r="R169" s="236">
        <f t="shared" si="21"/>
        <v>0</v>
      </c>
      <c r="S169" s="253">
        <f t="shared" si="22"/>
        <v>-21047.388640459787</v>
      </c>
      <c r="T169" s="254">
        <f t="shared" si="26"/>
        <v>-21047.388640459787</v>
      </c>
    </row>
    <row r="170" spans="1:20" x14ac:dyDescent="0.25">
      <c r="A170" s="111">
        <f>Données!A170</f>
        <v>5688</v>
      </c>
      <c r="B170" s="123" t="str">
        <f>Données!B170</f>
        <v>Syens</v>
      </c>
      <c r="C170" s="252">
        <f>Données!C170</f>
        <v>144</v>
      </c>
      <c r="D170" s="249">
        <f>RFS!W170</f>
        <v>300204.18170456879</v>
      </c>
      <c r="E170" s="265"/>
      <c r="F170" s="271">
        <f t="shared" si="18"/>
        <v>2084.7512618372834</v>
      </c>
      <c r="G170" s="265">
        <f t="shared" si="23"/>
        <v>-1377.982169501619</v>
      </c>
      <c r="H170" s="272">
        <f t="shared" si="19"/>
        <v>-158743.54592658652</v>
      </c>
      <c r="I170" s="244"/>
      <c r="J170" s="236">
        <f t="shared" si="24"/>
        <v>3187.1369974385784</v>
      </c>
      <c r="K170" s="265">
        <f t="shared" si="20"/>
        <v>0</v>
      </c>
      <c r="L170" s="272">
        <f t="shared" si="25"/>
        <v>0</v>
      </c>
      <c r="M170" s="265"/>
      <c r="N170" s="274">
        <f>Données!S170</f>
        <v>37235</v>
      </c>
      <c r="O170" s="274">
        <f>Données!T170</f>
        <v>8599.7999999999993</v>
      </c>
      <c r="P170" s="274">
        <f>Données!U170</f>
        <v>42945.2</v>
      </c>
      <c r="Q170" s="249">
        <f>Données!V170</f>
        <v>5276.3</v>
      </c>
      <c r="R170" s="236">
        <f t="shared" si="21"/>
        <v>45972.89</v>
      </c>
      <c r="S170" s="253">
        <f t="shared" si="22"/>
        <v>-36961.267856417187</v>
      </c>
      <c r="T170" s="254">
        <f t="shared" si="26"/>
        <v>9011.622143582812</v>
      </c>
    </row>
    <row r="171" spans="1:20" x14ac:dyDescent="0.25">
      <c r="A171" s="111">
        <f>Données!A171</f>
        <v>5690</v>
      </c>
      <c r="B171" s="123" t="str">
        <f>Données!B171</f>
        <v>Villars-le-Comte</v>
      </c>
      <c r="C171" s="252">
        <f>Données!C171</f>
        <v>129</v>
      </c>
      <c r="D171" s="249">
        <f>RFS!W171</f>
        <v>303724.53183111519</v>
      </c>
      <c r="E171" s="265"/>
      <c r="F171" s="271">
        <f t="shared" si="18"/>
        <v>2354.4537351249242</v>
      </c>
      <c r="G171" s="265">
        <f t="shared" si="23"/>
        <v>-1108.2796962139782</v>
      </c>
      <c r="H171" s="272">
        <f t="shared" si="19"/>
        <v>-114374.46464928256</v>
      </c>
      <c r="I171" s="244"/>
      <c r="J171" s="236">
        <f t="shared" si="24"/>
        <v>3241.0774920961067</v>
      </c>
      <c r="K171" s="265">
        <f t="shared" si="20"/>
        <v>0</v>
      </c>
      <c r="L171" s="272">
        <f t="shared" si="25"/>
        <v>0</v>
      </c>
      <c r="M171" s="265"/>
      <c r="N171" s="274">
        <f>Données!S171</f>
        <v>18151.2</v>
      </c>
      <c r="O171" s="274">
        <f>Données!T171</f>
        <v>6122.6</v>
      </c>
      <c r="P171" s="274">
        <f>Données!U171</f>
        <v>22229.9</v>
      </c>
      <c r="Q171" s="249">
        <f>Données!V171</f>
        <v>0</v>
      </c>
      <c r="R171" s="236">
        <f t="shared" si="21"/>
        <v>23251.850000000002</v>
      </c>
      <c r="S171" s="253">
        <f t="shared" si="22"/>
        <v>-33111.135788040396</v>
      </c>
      <c r="T171" s="254">
        <f t="shared" si="26"/>
        <v>-9859.2857880403935</v>
      </c>
    </row>
    <row r="172" spans="1:20" x14ac:dyDescent="0.25">
      <c r="A172" s="111">
        <f>Données!A172</f>
        <v>5692</v>
      </c>
      <c r="B172" s="123" t="str">
        <f>Données!B172</f>
        <v>Vucherens</v>
      </c>
      <c r="C172" s="252">
        <f>Données!C172</f>
        <v>634</v>
      </c>
      <c r="D172" s="249">
        <f>RFS!W172</f>
        <v>1172050.0632611078</v>
      </c>
      <c r="E172" s="265"/>
      <c r="F172" s="271">
        <f t="shared" si="18"/>
        <v>1848.6594057746179</v>
      </c>
      <c r="G172" s="265">
        <f t="shared" si="23"/>
        <v>-1614.0740255642845</v>
      </c>
      <c r="H172" s="272">
        <f t="shared" si="19"/>
        <v>-818658.34576620511</v>
      </c>
      <c r="I172" s="244"/>
      <c r="J172" s="236">
        <f t="shared" si="24"/>
        <v>3139.9186262260455</v>
      </c>
      <c r="K172" s="265">
        <f t="shared" si="20"/>
        <v>0</v>
      </c>
      <c r="L172" s="272">
        <f t="shared" si="25"/>
        <v>0</v>
      </c>
      <c r="M172" s="265"/>
      <c r="N172" s="274">
        <f>Données!S172</f>
        <v>80184.5</v>
      </c>
      <c r="O172" s="274">
        <f>Données!T172</f>
        <v>0</v>
      </c>
      <c r="P172" s="274">
        <f>Données!U172</f>
        <v>103457.65</v>
      </c>
      <c r="Q172" s="249">
        <f>Données!V172</f>
        <v>36300.75</v>
      </c>
      <c r="R172" s="236">
        <f t="shared" si="21"/>
        <v>102711.3</v>
      </c>
      <c r="S172" s="253">
        <f t="shared" si="22"/>
        <v>-162732.24875672566</v>
      </c>
      <c r="T172" s="254">
        <f t="shared" si="26"/>
        <v>-60020.948756725658</v>
      </c>
    </row>
    <row r="173" spans="1:20" x14ac:dyDescent="0.25">
      <c r="A173" s="111">
        <f>Données!A173</f>
        <v>5693</v>
      </c>
      <c r="B173" s="123" t="str">
        <f>Données!B173</f>
        <v>Montanaire</v>
      </c>
      <c r="C173" s="252">
        <f>Données!C173</f>
        <v>2856</v>
      </c>
      <c r="D173" s="249">
        <f>RFS!W173</f>
        <v>5300278.9598885328</v>
      </c>
      <c r="E173" s="265"/>
      <c r="F173" s="271">
        <f t="shared" si="18"/>
        <v>1855.8399719497663</v>
      </c>
      <c r="G173" s="265">
        <f t="shared" si="23"/>
        <v>-1606.8934593891361</v>
      </c>
      <c r="H173" s="272">
        <f t="shared" si="19"/>
        <v>-3671430.1760122986</v>
      </c>
      <c r="I173" s="244"/>
      <c r="J173" s="236">
        <f t="shared" si="24"/>
        <v>3141.354739461075</v>
      </c>
      <c r="K173" s="265">
        <f t="shared" si="20"/>
        <v>0</v>
      </c>
      <c r="L173" s="272">
        <f t="shared" si="25"/>
        <v>0</v>
      </c>
      <c r="M173" s="265"/>
      <c r="N173" s="274">
        <f>Données!S173</f>
        <v>173184.7</v>
      </c>
      <c r="O173" s="274">
        <f>Données!T173</f>
        <v>1320</v>
      </c>
      <c r="P173" s="274">
        <f>Données!U173</f>
        <v>133530.54999999999</v>
      </c>
      <c r="Q173" s="249">
        <f>Données!V173</f>
        <v>60255.85</v>
      </c>
      <c r="R173" s="236">
        <f t="shared" si="21"/>
        <v>172094.38</v>
      </c>
      <c r="S173" s="253">
        <f t="shared" si="22"/>
        <v>-733065.14581894083</v>
      </c>
      <c r="T173" s="254">
        <f t="shared" si="26"/>
        <v>-560970.76581894082</v>
      </c>
    </row>
    <row r="174" spans="1:20" x14ac:dyDescent="0.25">
      <c r="A174" s="111">
        <f>Données!A174</f>
        <v>5701</v>
      </c>
      <c r="B174" s="123" t="str">
        <f>Données!B174</f>
        <v>Arnex-sur-Nyon</v>
      </c>
      <c r="C174" s="252">
        <f>Données!C174</f>
        <v>274</v>
      </c>
      <c r="D174" s="249">
        <f>RFS!W174</f>
        <v>1273031.1684423662</v>
      </c>
      <c r="E174" s="265"/>
      <c r="F174" s="271">
        <f t="shared" si="18"/>
        <v>4646.0991548991469</v>
      </c>
      <c r="G174" s="265">
        <f t="shared" si="23"/>
        <v>1183.3657235602445</v>
      </c>
      <c r="H174" s="272">
        <f t="shared" si="19"/>
        <v>259393.76660440562</v>
      </c>
      <c r="I174" s="244"/>
      <c r="J174" s="236">
        <f t="shared" si="24"/>
        <v>3699.4065760509511</v>
      </c>
      <c r="K174" s="265">
        <f t="shared" si="20"/>
        <v>0</v>
      </c>
      <c r="L174" s="272">
        <f t="shared" si="25"/>
        <v>0</v>
      </c>
      <c r="M174" s="265"/>
      <c r="N174" s="274">
        <f>Données!S174</f>
        <v>158143.15</v>
      </c>
      <c r="O174" s="274">
        <f>Données!T174</f>
        <v>8125</v>
      </c>
      <c r="P174" s="274">
        <f>Données!U174</f>
        <v>165294.9</v>
      </c>
      <c r="Q174" s="249">
        <f>Données!V174</f>
        <v>0</v>
      </c>
      <c r="R174" s="236">
        <f t="shared" si="21"/>
        <v>165781.52499999999</v>
      </c>
      <c r="S174" s="253">
        <f t="shared" si="22"/>
        <v>-70329.079115682704</v>
      </c>
      <c r="T174" s="254">
        <f t="shared" si="26"/>
        <v>95452.445884317291</v>
      </c>
    </row>
    <row r="175" spans="1:20" x14ac:dyDescent="0.25">
      <c r="A175" s="111">
        <f>Données!A175</f>
        <v>5702</v>
      </c>
      <c r="B175" s="123" t="str">
        <f>Données!B175</f>
        <v>Arzier-Le Muids</v>
      </c>
      <c r="C175" s="252">
        <f>Données!C175</f>
        <v>2999</v>
      </c>
      <c r="D175" s="249">
        <f>RFS!W175</f>
        <v>12706705.829233561</v>
      </c>
      <c r="E175" s="265"/>
      <c r="F175" s="271">
        <f t="shared" si="18"/>
        <v>4236.9809367234284</v>
      </c>
      <c r="G175" s="265">
        <f t="shared" si="23"/>
        <v>774.24750538452599</v>
      </c>
      <c r="H175" s="272">
        <f t="shared" si="19"/>
        <v>1857574.6149185547</v>
      </c>
      <c r="I175" s="244"/>
      <c r="J175" s="236">
        <f t="shared" si="24"/>
        <v>3617.5829324158076</v>
      </c>
      <c r="K175" s="265">
        <f t="shared" si="20"/>
        <v>0</v>
      </c>
      <c r="L175" s="272">
        <f t="shared" si="25"/>
        <v>0</v>
      </c>
      <c r="M175" s="265"/>
      <c r="N175" s="274">
        <f>Données!S175</f>
        <v>820741.9</v>
      </c>
      <c r="O175" s="274">
        <f>Données!T175</f>
        <v>1650301.2</v>
      </c>
      <c r="P175" s="274">
        <f>Données!U175</f>
        <v>522882.1</v>
      </c>
      <c r="Q175" s="249">
        <f>Données!V175</f>
        <v>73450.75</v>
      </c>
      <c r="R175" s="236">
        <f t="shared" si="21"/>
        <v>1518997.8250000002</v>
      </c>
      <c r="S175" s="253">
        <f t="shared" si="22"/>
        <v>-769769.73820413288</v>
      </c>
      <c r="T175" s="254">
        <f t="shared" si="26"/>
        <v>749228.0867958673</v>
      </c>
    </row>
    <row r="176" spans="1:20" x14ac:dyDescent="0.25">
      <c r="A176" s="111">
        <f>Données!A176</f>
        <v>5703</v>
      </c>
      <c r="B176" s="123" t="str">
        <f>Données!B176</f>
        <v>Bassins</v>
      </c>
      <c r="C176" s="252">
        <f>Données!C176</f>
        <v>1468</v>
      </c>
      <c r="D176" s="249">
        <f>RFS!W176</f>
        <v>4653101.2637848388</v>
      </c>
      <c r="E176" s="265"/>
      <c r="F176" s="271">
        <f t="shared" si="18"/>
        <v>3169.6875093902172</v>
      </c>
      <c r="G176" s="265">
        <f t="shared" si="23"/>
        <v>-293.04592194868519</v>
      </c>
      <c r="H176" s="272">
        <f t="shared" si="19"/>
        <v>-344153.13073653588</v>
      </c>
      <c r="I176" s="244"/>
      <c r="J176" s="236">
        <f t="shared" si="24"/>
        <v>3404.1242469491649</v>
      </c>
      <c r="K176" s="265">
        <f t="shared" si="20"/>
        <v>0</v>
      </c>
      <c r="L176" s="272">
        <f t="shared" si="25"/>
        <v>0</v>
      </c>
      <c r="M176" s="265"/>
      <c r="N176" s="274">
        <f>Données!S176</f>
        <v>246419.20000000001</v>
      </c>
      <c r="O176" s="274">
        <f>Données!T176</f>
        <v>0</v>
      </c>
      <c r="P176" s="274">
        <f>Données!U176</f>
        <v>268882.95</v>
      </c>
      <c r="Q176" s="249">
        <f>Données!V176</f>
        <v>14044.05</v>
      </c>
      <c r="R176" s="236">
        <f t="shared" si="21"/>
        <v>261864.29</v>
      </c>
      <c r="S176" s="253">
        <f t="shared" si="22"/>
        <v>-376799.59175847517</v>
      </c>
      <c r="T176" s="254">
        <f t="shared" si="26"/>
        <v>-114935.30175847517</v>
      </c>
    </row>
    <row r="177" spans="1:20" x14ac:dyDescent="0.25">
      <c r="A177" s="111">
        <f>Données!A177</f>
        <v>5704</v>
      </c>
      <c r="B177" s="123" t="str">
        <f>Données!B177</f>
        <v>Begnins</v>
      </c>
      <c r="C177" s="252">
        <f>Données!C177</f>
        <v>2047</v>
      </c>
      <c r="D177" s="249">
        <f>RFS!W177</f>
        <v>10804365.861213267</v>
      </c>
      <c r="E177" s="265"/>
      <c r="F177" s="271">
        <f t="shared" si="18"/>
        <v>5278.1464881354505</v>
      </c>
      <c r="G177" s="265">
        <f t="shared" si="23"/>
        <v>1815.4130567965481</v>
      </c>
      <c r="H177" s="272">
        <f t="shared" si="19"/>
        <v>2972920.4218100272</v>
      </c>
      <c r="I177" s="244"/>
      <c r="J177" s="236">
        <f t="shared" si="24"/>
        <v>3825.8160426982117</v>
      </c>
      <c r="K177" s="265">
        <f t="shared" si="20"/>
        <v>0</v>
      </c>
      <c r="L177" s="272">
        <f t="shared" si="25"/>
        <v>0</v>
      </c>
      <c r="M177" s="265"/>
      <c r="N177" s="274">
        <f>Données!S177</f>
        <v>383659.3</v>
      </c>
      <c r="O177" s="274">
        <f>Données!T177</f>
        <v>179071</v>
      </c>
      <c r="P177" s="274">
        <f>Données!U177</f>
        <v>310026.09999999998</v>
      </c>
      <c r="Q177" s="249">
        <f>Données!V177</f>
        <v>46546.8</v>
      </c>
      <c r="R177" s="236">
        <f t="shared" si="21"/>
        <v>450342.24</v>
      </c>
      <c r="S177" s="253">
        <f t="shared" si="22"/>
        <v>-525414.68959781923</v>
      </c>
      <c r="T177" s="254">
        <f t="shared" si="26"/>
        <v>-75072.449597819243</v>
      </c>
    </row>
    <row r="178" spans="1:20" x14ac:dyDescent="0.25">
      <c r="A178" s="111">
        <f>Données!A178</f>
        <v>5705</v>
      </c>
      <c r="B178" s="123" t="str">
        <f>Données!B178</f>
        <v>Bogis-Bossey</v>
      </c>
      <c r="C178" s="252">
        <f>Données!C178</f>
        <v>961</v>
      </c>
      <c r="D178" s="249">
        <f>RFS!W178</f>
        <v>4026683.2045648824</v>
      </c>
      <c r="E178" s="265"/>
      <c r="F178" s="271">
        <f t="shared" si="18"/>
        <v>4190.0969870602312</v>
      </c>
      <c r="G178" s="265">
        <f t="shared" si="23"/>
        <v>727.36355572132879</v>
      </c>
      <c r="H178" s="272">
        <f t="shared" si="19"/>
        <v>559197.10163855762</v>
      </c>
      <c r="I178" s="244"/>
      <c r="J178" s="236">
        <f t="shared" si="24"/>
        <v>3608.2061424831686</v>
      </c>
      <c r="K178" s="265">
        <f t="shared" si="20"/>
        <v>0</v>
      </c>
      <c r="L178" s="272">
        <f t="shared" si="25"/>
        <v>0</v>
      </c>
      <c r="M178" s="265"/>
      <c r="N178" s="274">
        <f>Données!S178</f>
        <v>364798.5</v>
      </c>
      <c r="O178" s="274">
        <f>Données!T178</f>
        <v>0</v>
      </c>
      <c r="P178" s="274">
        <f>Données!U178</f>
        <v>140194.4</v>
      </c>
      <c r="Q178" s="249">
        <f>Données!V178</f>
        <v>64225.2</v>
      </c>
      <c r="R178" s="236">
        <f t="shared" si="21"/>
        <v>271764.01</v>
      </c>
      <c r="S178" s="253">
        <f t="shared" si="22"/>
        <v>-246665.1278473397</v>
      </c>
      <c r="T178" s="254">
        <f t="shared" si="26"/>
        <v>25098.882152660313</v>
      </c>
    </row>
    <row r="179" spans="1:20" x14ac:dyDescent="0.25">
      <c r="A179" s="111">
        <f>Données!A179</f>
        <v>5706</v>
      </c>
      <c r="B179" s="123" t="str">
        <f>Données!B179</f>
        <v>Borex</v>
      </c>
      <c r="C179" s="252">
        <f>Données!C179</f>
        <v>1168</v>
      </c>
      <c r="D179" s="249">
        <f>RFS!W179</f>
        <v>5359675.8727924991</v>
      </c>
      <c r="E179" s="265"/>
      <c r="F179" s="271">
        <f t="shared" si="18"/>
        <v>4588.7635897196051</v>
      </c>
      <c r="G179" s="265">
        <f t="shared" si="23"/>
        <v>1126.0301583807027</v>
      </c>
      <c r="H179" s="272">
        <f t="shared" si="19"/>
        <v>1052162.5799909288</v>
      </c>
      <c r="I179" s="244"/>
      <c r="J179" s="236">
        <f t="shared" si="24"/>
        <v>3687.9394630150427</v>
      </c>
      <c r="K179" s="265">
        <f t="shared" si="20"/>
        <v>0</v>
      </c>
      <c r="L179" s="272">
        <f t="shared" si="25"/>
        <v>0</v>
      </c>
      <c r="M179" s="265"/>
      <c r="N179" s="274">
        <f>Données!S179</f>
        <v>97086.65</v>
      </c>
      <c r="O179" s="274">
        <f>Données!T179</f>
        <v>0</v>
      </c>
      <c r="P179" s="274">
        <f>Données!U179</f>
        <v>81405.75</v>
      </c>
      <c r="Q179" s="249">
        <f>Données!V179</f>
        <v>14956.6</v>
      </c>
      <c r="R179" s="236">
        <f t="shared" si="21"/>
        <v>93733.18</v>
      </c>
      <c r="S179" s="253">
        <f t="shared" si="22"/>
        <v>-299796.95039093937</v>
      </c>
      <c r="T179" s="254">
        <f t="shared" si="26"/>
        <v>-206063.77039093937</v>
      </c>
    </row>
    <row r="180" spans="1:20" x14ac:dyDescent="0.25">
      <c r="A180" s="111">
        <f>Données!A180</f>
        <v>5707</v>
      </c>
      <c r="B180" s="123" t="str">
        <f>Données!B180</f>
        <v>Chavannes-de-Bogis</v>
      </c>
      <c r="C180" s="252">
        <f>Données!C180</f>
        <v>1423</v>
      </c>
      <c r="D180" s="249">
        <f>RFS!W180</f>
        <v>5721650.2625453975</v>
      </c>
      <c r="E180" s="265"/>
      <c r="F180" s="271">
        <f t="shared" si="18"/>
        <v>4020.8364459208697</v>
      </c>
      <c r="G180" s="265">
        <f t="shared" si="23"/>
        <v>558.10301458196727</v>
      </c>
      <c r="H180" s="272">
        <f t="shared" si="19"/>
        <v>635344.47180011158</v>
      </c>
      <c r="I180" s="244"/>
      <c r="J180" s="236">
        <f t="shared" si="24"/>
        <v>3574.354034255296</v>
      </c>
      <c r="K180" s="265">
        <f t="shared" si="20"/>
        <v>0</v>
      </c>
      <c r="L180" s="272">
        <f t="shared" si="25"/>
        <v>0</v>
      </c>
      <c r="M180" s="265"/>
      <c r="N180" s="274">
        <f>Données!S180</f>
        <v>474721.45</v>
      </c>
      <c r="O180" s="274">
        <f>Données!T180</f>
        <v>0</v>
      </c>
      <c r="P180" s="274">
        <f>Données!U180</f>
        <v>249822.1</v>
      </c>
      <c r="Q180" s="249">
        <f>Données!V180</f>
        <v>769499</v>
      </c>
      <c r="R180" s="236">
        <f t="shared" si="21"/>
        <v>593121.47499999998</v>
      </c>
      <c r="S180" s="253">
        <f t="shared" si="22"/>
        <v>-365249.19555334479</v>
      </c>
      <c r="T180" s="254">
        <f t="shared" si="26"/>
        <v>227872.27944665519</v>
      </c>
    </row>
    <row r="181" spans="1:20" x14ac:dyDescent="0.25">
      <c r="A181" s="111">
        <f>Données!A181</f>
        <v>5708</v>
      </c>
      <c r="B181" s="123" t="str">
        <f>Données!B181</f>
        <v>Chavannes-des-Bois</v>
      </c>
      <c r="C181" s="252">
        <f>Données!C181</f>
        <v>983</v>
      </c>
      <c r="D181" s="249">
        <f>RFS!W181</f>
        <v>4696115.7559614647</v>
      </c>
      <c r="E181" s="265"/>
      <c r="F181" s="271">
        <f t="shared" si="18"/>
        <v>4777.3303722904011</v>
      </c>
      <c r="G181" s="265">
        <f t="shared" si="23"/>
        <v>1314.5969409514987</v>
      </c>
      <c r="H181" s="272">
        <f t="shared" si="19"/>
        <v>1033799.0343642586</v>
      </c>
      <c r="I181" s="244"/>
      <c r="J181" s="236">
        <f t="shared" si="24"/>
        <v>3725.6528195292021</v>
      </c>
      <c r="K181" s="265">
        <f t="shared" si="20"/>
        <v>0</v>
      </c>
      <c r="L181" s="272">
        <f t="shared" si="25"/>
        <v>0</v>
      </c>
      <c r="M181" s="265"/>
      <c r="N181" s="274">
        <f>Données!S181</f>
        <v>194071.4</v>
      </c>
      <c r="O181" s="274">
        <f>Données!T181</f>
        <v>0</v>
      </c>
      <c r="P181" s="274">
        <f>Données!U181</f>
        <v>85556.1</v>
      </c>
      <c r="Q181" s="249">
        <f>Données!V181</f>
        <v>19698.400000000001</v>
      </c>
      <c r="R181" s="236">
        <f t="shared" si="21"/>
        <v>145723.26999999999</v>
      </c>
      <c r="S181" s="253">
        <f t="shared" si="22"/>
        <v>-252311.9882142923</v>
      </c>
      <c r="T181" s="254">
        <f t="shared" si="26"/>
        <v>-106588.71821429231</v>
      </c>
    </row>
    <row r="182" spans="1:20" x14ac:dyDescent="0.25">
      <c r="A182" s="111">
        <f>Données!A182</f>
        <v>5709</v>
      </c>
      <c r="B182" s="123" t="str">
        <f>Données!B182</f>
        <v>Chéserex</v>
      </c>
      <c r="C182" s="252">
        <f>Données!C182</f>
        <v>1272</v>
      </c>
      <c r="D182" s="249">
        <f>RFS!W182</f>
        <v>8192934.8488441883</v>
      </c>
      <c r="E182" s="265"/>
      <c r="F182" s="271">
        <f t="shared" si="18"/>
        <v>6440.9865163869408</v>
      </c>
      <c r="G182" s="265">
        <f t="shared" si="23"/>
        <v>2978.2530850480384</v>
      </c>
      <c r="H182" s="272">
        <f t="shared" si="19"/>
        <v>3030670.3393448838</v>
      </c>
      <c r="I182" s="244"/>
      <c r="J182" s="236">
        <f t="shared" si="24"/>
        <v>4058.3840483485096</v>
      </c>
      <c r="K182" s="265">
        <f t="shared" si="20"/>
        <v>0</v>
      </c>
      <c r="L182" s="272">
        <f t="shared" si="25"/>
        <v>0</v>
      </c>
      <c r="M182" s="265"/>
      <c r="N182" s="274">
        <f>Données!S182</f>
        <v>234669.85</v>
      </c>
      <c r="O182" s="274">
        <f>Données!T182</f>
        <v>1540</v>
      </c>
      <c r="P182" s="274">
        <f>Données!U182</f>
        <v>78971.5</v>
      </c>
      <c r="Q182" s="249">
        <f>Données!V182</f>
        <v>63767.95</v>
      </c>
      <c r="R182" s="236">
        <f t="shared" si="21"/>
        <v>176721.06</v>
      </c>
      <c r="S182" s="253">
        <f t="shared" si="22"/>
        <v>-326491.19939835178</v>
      </c>
      <c r="T182" s="254">
        <f t="shared" si="26"/>
        <v>-149770.13939835178</v>
      </c>
    </row>
    <row r="183" spans="1:20" x14ac:dyDescent="0.25">
      <c r="A183" s="111">
        <f>Données!A183</f>
        <v>5710</v>
      </c>
      <c r="B183" s="123" t="str">
        <f>Données!B183</f>
        <v>Coinsins</v>
      </c>
      <c r="C183" s="252">
        <f>Données!C183</f>
        <v>510</v>
      </c>
      <c r="D183" s="249">
        <f>RFS!W183</f>
        <v>1892525.582721289</v>
      </c>
      <c r="E183" s="265"/>
      <c r="F183" s="271">
        <f t="shared" si="18"/>
        <v>3710.8344759240963</v>
      </c>
      <c r="G183" s="265">
        <f t="shared" si="23"/>
        <v>248.1010445851939</v>
      </c>
      <c r="H183" s="272">
        <f t="shared" si="19"/>
        <v>101225.22619075912</v>
      </c>
      <c r="I183" s="244"/>
      <c r="J183" s="236">
        <f t="shared" si="24"/>
        <v>3512.3536402559412</v>
      </c>
      <c r="K183" s="265">
        <f t="shared" si="20"/>
        <v>0</v>
      </c>
      <c r="L183" s="272">
        <f t="shared" si="25"/>
        <v>0</v>
      </c>
      <c r="M183" s="265"/>
      <c r="N183" s="274">
        <f>Données!S183</f>
        <v>88160</v>
      </c>
      <c r="O183" s="274">
        <f>Données!T183</f>
        <v>0</v>
      </c>
      <c r="P183" s="274">
        <f>Données!U183</f>
        <v>56194.25</v>
      </c>
      <c r="Q183" s="249">
        <f>Données!V183</f>
        <v>96996.5</v>
      </c>
      <c r="R183" s="236">
        <f t="shared" si="21"/>
        <v>101276.075</v>
      </c>
      <c r="S183" s="253">
        <f t="shared" si="22"/>
        <v>-130904.49032481086</v>
      </c>
      <c r="T183" s="254">
        <f t="shared" si="26"/>
        <v>-29628.415324810863</v>
      </c>
    </row>
    <row r="184" spans="1:20" x14ac:dyDescent="0.25">
      <c r="A184" s="111">
        <f>Données!A184</f>
        <v>5711</v>
      </c>
      <c r="B184" s="123" t="str">
        <f>Données!B184</f>
        <v>Commugny</v>
      </c>
      <c r="C184" s="252">
        <f>Données!C184</f>
        <v>2968</v>
      </c>
      <c r="D184" s="249">
        <f>RFS!W184</f>
        <v>22355689.309139304</v>
      </c>
      <c r="E184" s="265"/>
      <c r="F184" s="271">
        <f t="shared" si="18"/>
        <v>7532.2403332679596</v>
      </c>
      <c r="G184" s="265">
        <f t="shared" si="23"/>
        <v>4069.5069019290572</v>
      </c>
      <c r="H184" s="272">
        <f t="shared" si="19"/>
        <v>9662637.1879403554</v>
      </c>
      <c r="I184" s="244"/>
      <c r="J184" s="236">
        <f t="shared" si="24"/>
        <v>4276.6348117247135</v>
      </c>
      <c r="K184" s="265">
        <f t="shared" si="20"/>
        <v>0</v>
      </c>
      <c r="L184" s="272">
        <f t="shared" si="25"/>
        <v>0</v>
      </c>
      <c r="M184" s="265"/>
      <c r="N184" s="274">
        <f>Données!S184</f>
        <v>928319.75</v>
      </c>
      <c r="O184" s="274">
        <f>Données!T184</f>
        <v>4653</v>
      </c>
      <c r="P184" s="274">
        <f>Données!U184</f>
        <v>613418.65</v>
      </c>
      <c r="Q184" s="249">
        <f>Données!V184</f>
        <v>47379.55</v>
      </c>
      <c r="R184" s="236">
        <f t="shared" si="21"/>
        <v>787409.56499999994</v>
      </c>
      <c r="S184" s="253">
        <f t="shared" si="22"/>
        <v>-761812.7985961542</v>
      </c>
      <c r="T184" s="254">
        <f t="shared" si="26"/>
        <v>25596.766403845744</v>
      </c>
    </row>
    <row r="185" spans="1:20" x14ac:dyDescent="0.25">
      <c r="A185" s="111">
        <f>Données!A185</f>
        <v>5712</v>
      </c>
      <c r="B185" s="123" t="str">
        <f>Données!B185</f>
        <v>Coppet</v>
      </c>
      <c r="C185" s="252">
        <f>Données!C185</f>
        <v>3233</v>
      </c>
      <c r="D185" s="249">
        <f>RFS!W185</f>
        <v>29820210.147810575</v>
      </c>
      <c r="E185" s="265"/>
      <c r="F185" s="271">
        <f t="shared" si="18"/>
        <v>9223.6963030654424</v>
      </c>
      <c r="G185" s="265">
        <f t="shared" si="23"/>
        <v>5760.9628717265405</v>
      </c>
      <c r="H185" s="272">
        <f t="shared" si="19"/>
        <v>14900154.371433526</v>
      </c>
      <c r="I185" s="244"/>
      <c r="J185" s="236">
        <f t="shared" si="24"/>
        <v>4614.9260056842095</v>
      </c>
      <c r="K185" s="265">
        <f t="shared" si="20"/>
        <v>0</v>
      </c>
      <c r="L185" s="272">
        <f t="shared" si="25"/>
        <v>0</v>
      </c>
      <c r="M185" s="265"/>
      <c r="N185" s="274">
        <f>Données!S185</f>
        <v>1217217.3</v>
      </c>
      <c r="O185" s="274">
        <f>Données!T185</f>
        <v>41023394.899999999</v>
      </c>
      <c r="P185" s="274">
        <f>Données!U185</f>
        <v>1678296.7</v>
      </c>
      <c r="Q185" s="249">
        <f>Données!V185</f>
        <v>152574.15</v>
      </c>
      <c r="R185" s="236">
        <f t="shared" si="21"/>
        <v>22005226.695</v>
      </c>
      <c r="S185" s="253">
        <f t="shared" si="22"/>
        <v>-829831.79847081087</v>
      </c>
      <c r="T185" s="254">
        <f t="shared" si="26"/>
        <v>21175394.89652919</v>
      </c>
    </row>
    <row r="186" spans="1:20" x14ac:dyDescent="0.25">
      <c r="A186" s="111">
        <f>Données!A186</f>
        <v>5713</v>
      </c>
      <c r="B186" s="123" t="str">
        <f>Données!B186</f>
        <v>Crans</v>
      </c>
      <c r="C186" s="252">
        <f>Données!C186</f>
        <v>2483</v>
      </c>
      <c r="D186" s="249">
        <f>RFS!W186</f>
        <v>20310472.438549574</v>
      </c>
      <c r="E186" s="265"/>
      <c r="F186" s="271">
        <f t="shared" si="18"/>
        <v>8179.8116949454588</v>
      </c>
      <c r="G186" s="265">
        <f t="shared" si="23"/>
        <v>4717.078263606556</v>
      </c>
      <c r="H186" s="272">
        <f t="shared" si="19"/>
        <v>9370004.2628280632</v>
      </c>
      <c r="I186" s="244"/>
      <c r="J186" s="236">
        <f t="shared" si="24"/>
        <v>4406.1490840602137</v>
      </c>
      <c r="K186" s="265">
        <f t="shared" si="20"/>
        <v>0</v>
      </c>
      <c r="L186" s="272">
        <f t="shared" si="25"/>
        <v>0</v>
      </c>
      <c r="M186" s="265"/>
      <c r="N186" s="274">
        <f>Données!S186</f>
        <v>591733</v>
      </c>
      <c r="O186" s="274">
        <f>Données!T186</f>
        <v>675629.5</v>
      </c>
      <c r="P186" s="274">
        <f>Données!U186</f>
        <v>254963.1</v>
      </c>
      <c r="Q186" s="249">
        <f>Données!V186</f>
        <v>41616.400000000001</v>
      </c>
      <c r="R186" s="236">
        <f t="shared" si="21"/>
        <v>773647.72000000009</v>
      </c>
      <c r="S186" s="253">
        <f t="shared" si="22"/>
        <v>-637325.19505197136</v>
      </c>
      <c r="T186" s="254">
        <f t="shared" si="26"/>
        <v>136322.52494802873</v>
      </c>
    </row>
    <row r="187" spans="1:20" x14ac:dyDescent="0.25">
      <c r="A187" s="111">
        <f>Données!A187</f>
        <v>5714</v>
      </c>
      <c r="B187" s="123" t="str">
        <f>Données!B187</f>
        <v>Crassier</v>
      </c>
      <c r="C187" s="252">
        <f>Données!C187</f>
        <v>1272</v>
      </c>
      <c r="D187" s="249">
        <f>RFS!W187</f>
        <v>4547965.63875145</v>
      </c>
      <c r="E187" s="265"/>
      <c r="F187" s="271">
        <f t="shared" si="18"/>
        <v>3575.4446845530269</v>
      </c>
      <c r="G187" s="265">
        <f t="shared" si="23"/>
        <v>112.71125321412455</v>
      </c>
      <c r="H187" s="272">
        <f t="shared" si="19"/>
        <v>114694.97127069315</v>
      </c>
      <c r="I187" s="244"/>
      <c r="J187" s="236">
        <f t="shared" si="24"/>
        <v>3485.2756819817268</v>
      </c>
      <c r="K187" s="265">
        <f t="shared" si="20"/>
        <v>0</v>
      </c>
      <c r="L187" s="272">
        <f t="shared" si="25"/>
        <v>0</v>
      </c>
      <c r="M187" s="265"/>
      <c r="N187" s="274">
        <f>Données!S187</f>
        <v>200463.75</v>
      </c>
      <c r="O187" s="274">
        <f>Données!T187</f>
        <v>13496.4</v>
      </c>
      <c r="P187" s="274">
        <f>Données!U187</f>
        <v>69416.649999999994</v>
      </c>
      <c r="Q187" s="249">
        <f>Données!V187</f>
        <v>104406.75</v>
      </c>
      <c r="R187" s="236">
        <f t="shared" si="21"/>
        <v>173010.42499999999</v>
      </c>
      <c r="S187" s="253">
        <f t="shared" si="22"/>
        <v>-326491.19939835178</v>
      </c>
      <c r="T187" s="254">
        <f t="shared" si="26"/>
        <v>-153480.77439835179</v>
      </c>
    </row>
    <row r="188" spans="1:20" x14ac:dyDescent="0.25">
      <c r="A188" s="111">
        <f>Données!A188</f>
        <v>5715</v>
      </c>
      <c r="B188" s="123" t="str">
        <f>Données!B188</f>
        <v>Duillier</v>
      </c>
      <c r="C188" s="252">
        <f>Données!C188</f>
        <v>1120</v>
      </c>
      <c r="D188" s="249">
        <f>RFS!W188</f>
        <v>5488697.7999123661</v>
      </c>
      <c r="E188" s="265"/>
      <c r="F188" s="271">
        <f t="shared" si="18"/>
        <v>4900.6230356360411</v>
      </c>
      <c r="G188" s="265">
        <f t="shared" si="23"/>
        <v>1437.8896042971387</v>
      </c>
      <c r="H188" s="272">
        <f t="shared" si="19"/>
        <v>1288349.0854502365</v>
      </c>
      <c r="I188" s="244"/>
      <c r="J188" s="236">
        <f t="shared" si="24"/>
        <v>3750.31135219833</v>
      </c>
      <c r="K188" s="265">
        <f t="shared" si="20"/>
        <v>0</v>
      </c>
      <c r="L188" s="272">
        <f t="shared" si="25"/>
        <v>0</v>
      </c>
      <c r="M188" s="265"/>
      <c r="N188" s="274">
        <f>Données!S188</f>
        <v>395477.3</v>
      </c>
      <c r="O188" s="274">
        <f>Données!T188</f>
        <v>0</v>
      </c>
      <c r="P188" s="274">
        <f>Données!U188</f>
        <v>408027.25</v>
      </c>
      <c r="Q188" s="249">
        <f>Données!V188</f>
        <v>166077.35</v>
      </c>
      <c r="R188" s="236">
        <f t="shared" si="21"/>
        <v>451575.48000000004</v>
      </c>
      <c r="S188" s="253">
        <f t="shared" si="22"/>
        <v>-287476.52777213365</v>
      </c>
      <c r="T188" s="254">
        <f t="shared" si="26"/>
        <v>164098.95222786639</v>
      </c>
    </row>
    <row r="189" spans="1:20" x14ac:dyDescent="0.25">
      <c r="A189" s="111">
        <f>Données!A189</f>
        <v>5716</v>
      </c>
      <c r="B189" s="123" t="str">
        <f>Données!B189</f>
        <v>Eysins</v>
      </c>
      <c r="C189" s="252">
        <f>Données!C189</f>
        <v>1811</v>
      </c>
      <c r="D189" s="249">
        <f>RFS!W189</f>
        <v>32837829.653521862</v>
      </c>
      <c r="E189" s="265"/>
      <c r="F189" s="271">
        <f t="shared" si="18"/>
        <v>18132.4294055891</v>
      </c>
      <c r="G189" s="265">
        <f t="shared" si="23"/>
        <v>14669.695974250199</v>
      </c>
      <c r="H189" s="272">
        <f t="shared" si="19"/>
        <v>21253455.527493689</v>
      </c>
      <c r="I189" s="244"/>
      <c r="J189" s="236">
        <f t="shared" si="24"/>
        <v>6396.6726261889416</v>
      </c>
      <c r="K189" s="265">
        <f t="shared" si="20"/>
        <v>0</v>
      </c>
      <c r="L189" s="272">
        <f t="shared" si="25"/>
        <v>0</v>
      </c>
      <c r="M189" s="265"/>
      <c r="N189" s="274">
        <f>Données!S189</f>
        <v>281863.45</v>
      </c>
      <c r="O189" s="274">
        <f>Données!T189</f>
        <v>15555.4</v>
      </c>
      <c r="P189" s="274">
        <f>Données!U189</f>
        <v>181899.85</v>
      </c>
      <c r="Q189" s="249">
        <f>Données!V189</f>
        <v>443834.05</v>
      </c>
      <c r="R189" s="236">
        <f t="shared" si="21"/>
        <v>372809.56500000006</v>
      </c>
      <c r="S189" s="253">
        <f t="shared" si="22"/>
        <v>-464839.27838869113</v>
      </c>
      <c r="T189" s="254">
        <f t="shared" si="26"/>
        <v>-92029.713388691074</v>
      </c>
    </row>
    <row r="190" spans="1:20" x14ac:dyDescent="0.25">
      <c r="A190" s="111">
        <f>Données!A190</f>
        <v>5717</v>
      </c>
      <c r="B190" s="123" t="str">
        <f>Données!B190</f>
        <v>Founex</v>
      </c>
      <c r="C190" s="252">
        <f>Données!C190</f>
        <v>3737</v>
      </c>
      <c r="D190" s="249">
        <f>RFS!W190</f>
        <v>28039228.143430706</v>
      </c>
      <c r="E190" s="265"/>
      <c r="F190" s="271">
        <f t="shared" si="18"/>
        <v>7503.1383846483022</v>
      </c>
      <c r="G190" s="265">
        <f t="shared" si="23"/>
        <v>4040.4049533093998</v>
      </c>
      <c r="H190" s="272">
        <f t="shared" si="19"/>
        <v>12079194.648413783</v>
      </c>
      <c r="I190" s="244"/>
      <c r="J190" s="236">
        <f t="shared" si="24"/>
        <v>4270.8144220007825</v>
      </c>
      <c r="K190" s="265">
        <f t="shared" si="20"/>
        <v>0</v>
      </c>
      <c r="L190" s="272">
        <f t="shared" si="25"/>
        <v>0</v>
      </c>
      <c r="M190" s="265"/>
      <c r="N190" s="274">
        <f>Données!S190</f>
        <v>1193386.5</v>
      </c>
      <c r="O190" s="274">
        <f>Données!T190</f>
        <v>624967.30000000005</v>
      </c>
      <c r="P190" s="274">
        <f>Données!U190</f>
        <v>1798999.2</v>
      </c>
      <c r="Q190" s="249">
        <f>Données!V190</f>
        <v>275412.7</v>
      </c>
      <c r="R190" s="236">
        <f t="shared" si="21"/>
        <v>1891300.31</v>
      </c>
      <c r="S190" s="253">
        <f t="shared" si="22"/>
        <v>-959196.23596827092</v>
      </c>
      <c r="T190" s="254">
        <f t="shared" si="26"/>
        <v>932104.07403172913</v>
      </c>
    </row>
    <row r="191" spans="1:20" x14ac:dyDescent="0.25">
      <c r="A191" s="111">
        <f>Données!A191</f>
        <v>5718</v>
      </c>
      <c r="B191" s="123" t="str">
        <f>Données!B191</f>
        <v>Genolier</v>
      </c>
      <c r="C191" s="252">
        <f>Données!C191</f>
        <v>2071</v>
      </c>
      <c r="D191" s="249">
        <f>RFS!W191</f>
        <v>14715826.845089227</v>
      </c>
      <c r="E191" s="265"/>
      <c r="F191" s="271">
        <f t="shared" si="18"/>
        <v>7105.6624070928183</v>
      </c>
      <c r="G191" s="265">
        <f t="shared" si="23"/>
        <v>3642.9289757539159</v>
      </c>
      <c r="H191" s="272">
        <f t="shared" si="19"/>
        <v>6035604.7270290889</v>
      </c>
      <c r="I191" s="244"/>
      <c r="J191" s="236">
        <f t="shared" si="24"/>
        <v>4191.3192264896852</v>
      </c>
      <c r="K191" s="265">
        <f t="shared" si="20"/>
        <v>0</v>
      </c>
      <c r="L191" s="272">
        <f t="shared" si="25"/>
        <v>0</v>
      </c>
      <c r="M191" s="265"/>
      <c r="N191" s="274">
        <f>Données!S191</f>
        <v>589081.94999999995</v>
      </c>
      <c r="O191" s="274">
        <f>Données!T191</f>
        <v>1028831.7</v>
      </c>
      <c r="P191" s="274">
        <f>Données!U191</f>
        <v>612939.30000000005</v>
      </c>
      <c r="Q191" s="249">
        <f>Données!V191</f>
        <v>235685.55</v>
      </c>
      <c r="R191" s="236">
        <f t="shared" si="21"/>
        <v>1186132.1400000001</v>
      </c>
      <c r="S191" s="253">
        <f t="shared" si="22"/>
        <v>-531574.90090722218</v>
      </c>
      <c r="T191" s="254">
        <f t="shared" si="26"/>
        <v>654557.23909277795</v>
      </c>
    </row>
    <row r="192" spans="1:20" x14ac:dyDescent="0.25">
      <c r="A192" s="111">
        <f>Données!A192</f>
        <v>5719</v>
      </c>
      <c r="B192" s="123" t="str">
        <f>Données!B192</f>
        <v>Gingins</v>
      </c>
      <c r="C192" s="252">
        <f>Données!C192</f>
        <v>1241</v>
      </c>
      <c r="D192" s="249">
        <f>RFS!W192</f>
        <v>10997056.131014524</v>
      </c>
      <c r="E192" s="265"/>
      <c r="F192" s="271">
        <f t="shared" si="18"/>
        <v>8861.4473255556204</v>
      </c>
      <c r="G192" s="265">
        <f t="shared" si="23"/>
        <v>5398.7138942167185</v>
      </c>
      <c r="H192" s="272">
        <f t="shared" si="19"/>
        <v>5359843.1541783586</v>
      </c>
      <c r="I192" s="244"/>
      <c r="J192" s="236">
        <f t="shared" si="24"/>
        <v>4542.4762101822444</v>
      </c>
      <c r="K192" s="265">
        <f t="shared" si="20"/>
        <v>0</v>
      </c>
      <c r="L192" s="272">
        <f t="shared" si="25"/>
        <v>0</v>
      </c>
      <c r="M192" s="265"/>
      <c r="N192" s="274">
        <f>Données!S192</f>
        <v>177068.85</v>
      </c>
      <c r="O192" s="274">
        <f>Données!T192</f>
        <v>128184.4</v>
      </c>
      <c r="P192" s="274">
        <f>Données!U192</f>
        <v>91877.7</v>
      </c>
      <c r="Q192" s="249">
        <f>Données!V192</f>
        <v>63888.9</v>
      </c>
      <c r="R192" s="236">
        <f t="shared" si="21"/>
        <v>217732.14500000002</v>
      </c>
      <c r="S192" s="253">
        <f t="shared" si="22"/>
        <v>-318534.25979037309</v>
      </c>
      <c r="T192" s="254">
        <f t="shared" si="26"/>
        <v>-100802.11479037307</v>
      </c>
    </row>
    <row r="193" spans="1:20" x14ac:dyDescent="0.25">
      <c r="A193" s="111">
        <f>Données!A193</f>
        <v>5720</v>
      </c>
      <c r="B193" s="123" t="str">
        <f>Données!B193</f>
        <v>Givrins</v>
      </c>
      <c r="C193" s="252">
        <f>Données!C193</f>
        <v>1096</v>
      </c>
      <c r="D193" s="249">
        <f>RFS!W193</f>
        <v>5138242.9565893402</v>
      </c>
      <c r="E193" s="265"/>
      <c r="F193" s="271">
        <f t="shared" si="18"/>
        <v>4688.1778800997627</v>
      </c>
      <c r="G193" s="265">
        <f t="shared" si="23"/>
        <v>1225.4444487608603</v>
      </c>
      <c r="H193" s="272">
        <f t="shared" si="19"/>
        <v>1074469.6926735223</v>
      </c>
      <c r="I193" s="244"/>
      <c r="J193" s="236">
        <f t="shared" si="24"/>
        <v>3707.8223210910751</v>
      </c>
      <c r="K193" s="265">
        <f t="shared" si="20"/>
        <v>0</v>
      </c>
      <c r="L193" s="272">
        <f t="shared" si="25"/>
        <v>0</v>
      </c>
      <c r="M193" s="265"/>
      <c r="N193" s="274">
        <f>Données!S193</f>
        <v>155402.79999999999</v>
      </c>
      <c r="O193" s="274">
        <f>Données!T193</f>
        <v>0</v>
      </c>
      <c r="P193" s="274">
        <f>Données!U193</f>
        <v>178295.2</v>
      </c>
      <c r="Q193" s="249">
        <f>Données!V193</f>
        <v>31096.6</v>
      </c>
      <c r="R193" s="236">
        <f t="shared" si="21"/>
        <v>176177.98</v>
      </c>
      <c r="S193" s="253">
        <f t="shared" si="22"/>
        <v>-281316.31646273081</v>
      </c>
      <c r="T193" s="254">
        <f t="shared" si="26"/>
        <v>-105138.3364627308</v>
      </c>
    </row>
    <row r="194" spans="1:20" x14ac:dyDescent="0.25">
      <c r="A194" s="111">
        <f>Données!A194</f>
        <v>5721</v>
      </c>
      <c r="B194" s="123" t="str">
        <f>Données!B194</f>
        <v>Gland</v>
      </c>
      <c r="C194" s="252">
        <f>Données!C194</f>
        <v>13978</v>
      </c>
      <c r="D194" s="249">
        <f>RFS!W194</f>
        <v>54434226.43062117</v>
      </c>
      <c r="E194" s="265"/>
      <c r="F194" s="271">
        <f t="shared" si="18"/>
        <v>3894.278611433765</v>
      </c>
      <c r="G194" s="265">
        <f t="shared" si="23"/>
        <v>431.54518009486264</v>
      </c>
      <c r="H194" s="272">
        <f t="shared" si="19"/>
        <v>4825710.8218927924</v>
      </c>
      <c r="I194" s="244"/>
      <c r="J194" s="236">
        <f t="shared" si="24"/>
        <v>3549.042467357875</v>
      </c>
      <c r="K194" s="265">
        <f t="shared" si="20"/>
        <v>0</v>
      </c>
      <c r="L194" s="272">
        <f t="shared" si="25"/>
        <v>0</v>
      </c>
      <c r="M194" s="265"/>
      <c r="N194" s="274">
        <f>Données!S194</f>
        <v>2226198.9</v>
      </c>
      <c r="O194" s="274">
        <f>Données!T194</f>
        <v>378372.8</v>
      </c>
      <c r="P194" s="274">
        <f>Données!U194</f>
        <v>1341832.8999999999</v>
      </c>
      <c r="Q194" s="249">
        <f>Données!V194</f>
        <v>3255194</v>
      </c>
      <c r="R194" s="236">
        <f t="shared" si="21"/>
        <v>2949760.5</v>
      </c>
      <c r="S194" s="253">
        <f t="shared" si="22"/>
        <v>-3587809.736784718</v>
      </c>
      <c r="T194" s="254">
        <f t="shared" si="26"/>
        <v>-638049.236784718</v>
      </c>
    </row>
    <row r="195" spans="1:20" x14ac:dyDescent="0.25">
      <c r="A195" s="111">
        <f>Données!A195</f>
        <v>5722</v>
      </c>
      <c r="B195" s="123" t="str">
        <f>Données!B195</f>
        <v>Grens</v>
      </c>
      <c r="C195" s="252">
        <f>Données!C195</f>
        <v>413</v>
      </c>
      <c r="D195" s="249">
        <f>RFS!W195</f>
        <v>1736995.4125743774</v>
      </c>
      <c r="E195" s="265"/>
      <c r="F195" s="271">
        <f t="shared" si="18"/>
        <v>4205.800030446434</v>
      </c>
      <c r="G195" s="265">
        <f t="shared" si="23"/>
        <v>743.0665991075316</v>
      </c>
      <c r="H195" s="272">
        <f t="shared" si="19"/>
        <v>245509.20434512847</v>
      </c>
      <c r="I195" s="244"/>
      <c r="J195" s="236">
        <f t="shared" si="24"/>
        <v>3611.346751160409</v>
      </c>
      <c r="K195" s="265">
        <f t="shared" si="20"/>
        <v>0</v>
      </c>
      <c r="L195" s="272">
        <f t="shared" si="25"/>
        <v>0</v>
      </c>
      <c r="M195" s="265"/>
      <c r="N195" s="274">
        <f>Données!S195</f>
        <v>605305.9</v>
      </c>
      <c r="O195" s="274">
        <f>Données!T195</f>
        <v>2168.4</v>
      </c>
      <c r="P195" s="274">
        <f>Données!U195</f>
        <v>182160.95</v>
      </c>
      <c r="Q195" s="249">
        <f>Données!V195</f>
        <v>238605.3</v>
      </c>
      <c r="R195" s="236">
        <f t="shared" si="21"/>
        <v>466399.21499999997</v>
      </c>
      <c r="S195" s="253">
        <f t="shared" si="22"/>
        <v>-106006.96961597429</v>
      </c>
      <c r="T195" s="254">
        <f t="shared" si="26"/>
        <v>360392.24538402568</v>
      </c>
    </row>
    <row r="196" spans="1:20" x14ac:dyDescent="0.25">
      <c r="A196" s="111">
        <f>Données!A196</f>
        <v>5723</v>
      </c>
      <c r="B196" s="123" t="str">
        <f>Données!B196</f>
        <v>Mies</v>
      </c>
      <c r="C196" s="252">
        <f>Données!C196</f>
        <v>2194</v>
      </c>
      <c r="D196" s="249">
        <f>RFS!W196</f>
        <v>20111254.564421248</v>
      </c>
      <c r="E196" s="265"/>
      <c r="F196" s="271">
        <f t="shared" si="18"/>
        <v>9166.4788351965581</v>
      </c>
      <c r="G196" s="265">
        <f t="shared" si="23"/>
        <v>5703.7454038576561</v>
      </c>
      <c r="H196" s="272">
        <f t="shared" si="19"/>
        <v>10011213.932850959</v>
      </c>
      <c r="I196" s="244"/>
      <c r="J196" s="236">
        <f t="shared" si="24"/>
        <v>4603.4825121104323</v>
      </c>
      <c r="K196" s="265">
        <f t="shared" si="20"/>
        <v>0</v>
      </c>
      <c r="L196" s="272">
        <f t="shared" si="25"/>
        <v>0</v>
      </c>
      <c r="M196" s="265"/>
      <c r="N196" s="274">
        <f>Données!S196</f>
        <v>1228773.75</v>
      </c>
      <c r="O196" s="274">
        <f>Données!T196</f>
        <v>380120.8</v>
      </c>
      <c r="P196" s="274">
        <f>Données!U196</f>
        <v>359394</v>
      </c>
      <c r="Q196" s="249">
        <f>Données!V196</f>
        <v>239016.4</v>
      </c>
      <c r="R196" s="236">
        <f t="shared" si="21"/>
        <v>1055849.1950000001</v>
      </c>
      <c r="S196" s="253">
        <f t="shared" si="22"/>
        <v>-563145.98386791185</v>
      </c>
      <c r="T196" s="254">
        <f t="shared" si="26"/>
        <v>492703.21113208821</v>
      </c>
    </row>
    <row r="197" spans="1:20" x14ac:dyDescent="0.25">
      <c r="A197" s="111">
        <f>Données!A197</f>
        <v>5724</v>
      </c>
      <c r="B197" s="123" t="str">
        <f>Données!B197</f>
        <v>Nyon</v>
      </c>
      <c r="C197" s="252">
        <f>Données!C197</f>
        <v>23732</v>
      </c>
      <c r="D197" s="249">
        <f>RFS!W197</f>
        <v>118300979.37145811</v>
      </c>
      <c r="E197" s="265"/>
      <c r="F197" s="271">
        <f t="shared" si="18"/>
        <v>4984.8718764308996</v>
      </c>
      <c r="G197" s="265">
        <f t="shared" si="23"/>
        <v>1522.1384450919973</v>
      </c>
      <c r="H197" s="272">
        <f t="shared" si="19"/>
        <v>28898711.663138624</v>
      </c>
      <c r="I197" s="244"/>
      <c r="J197" s="236">
        <f t="shared" si="24"/>
        <v>3767.1611203573016</v>
      </c>
      <c r="K197" s="265">
        <f t="shared" si="20"/>
        <v>0</v>
      </c>
      <c r="L197" s="272">
        <f t="shared" si="25"/>
        <v>0</v>
      </c>
      <c r="M197" s="265"/>
      <c r="N197" s="274">
        <f>Données!S197</f>
        <v>3361788.3</v>
      </c>
      <c r="O197" s="274">
        <f>Données!T197</f>
        <v>4339292.2</v>
      </c>
      <c r="P197" s="274">
        <f>Données!U197</f>
        <v>2453056.4</v>
      </c>
      <c r="Q197" s="249">
        <f>Données!V197</f>
        <v>5903364.0999999996</v>
      </c>
      <c r="R197" s="236">
        <f t="shared" si="21"/>
        <v>6848077.6799999997</v>
      </c>
      <c r="S197" s="253">
        <f t="shared" si="22"/>
        <v>-6091422.283114532</v>
      </c>
      <c r="T197" s="254">
        <f t="shared" si="26"/>
        <v>756655.39688546769</v>
      </c>
    </row>
    <row r="198" spans="1:20" x14ac:dyDescent="0.25">
      <c r="A198" s="111">
        <f>Données!A198</f>
        <v>5725</v>
      </c>
      <c r="B198" s="123" t="str">
        <f>Données!B198</f>
        <v>Prangins</v>
      </c>
      <c r="C198" s="252">
        <f>Données!C198</f>
        <v>4243</v>
      </c>
      <c r="D198" s="249">
        <f>RFS!W198</f>
        <v>24416299.703686774</v>
      </c>
      <c r="E198" s="265"/>
      <c r="F198" s="271">
        <f t="shared" si="18"/>
        <v>5754.4896779841556</v>
      </c>
      <c r="G198" s="265">
        <f t="shared" si="23"/>
        <v>2291.7562466452532</v>
      </c>
      <c r="H198" s="272">
        <f t="shared" si="19"/>
        <v>7779137.4036126481</v>
      </c>
      <c r="I198" s="244"/>
      <c r="J198" s="236">
        <f t="shared" si="24"/>
        <v>3921.0846806679533</v>
      </c>
      <c r="K198" s="265">
        <f t="shared" si="20"/>
        <v>0</v>
      </c>
      <c r="L198" s="272">
        <f t="shared" si="25"/>
        <v>0</v>
      </c>
      <c r="M198" s="265"/>
      <c r="N198" s="274">
        <f>Données!S198</f>
        <v>1517527.65</v>
      </c>
      <c r="O198" s="274">
        <f>Données!T198</f>
        <v>42597.3</v>
      </c>
      <c r="P198" s="274">
        <f>Données!U198</f>
        <v>828695.1</v>
      </c>
      <c r="Q198" s="249">
        <f>Données!V198</f>
        <v>1341152.95</v>
      </c>
      <c r="R198" s="236">
        <f t="shared" si="21"/>
        <v>1596755.91</v>
      </c>
      <c r="S198" s="253">
        <f t="shared" si="22"/>
        <v>-1089074.0244081814</v>
      </c>
      <c r="T198" s="254">
        <f t="shared" si="26"/>
        <v>507681.88559181849</v>
      </c>
    </row>
    <row r="199" spans="1:20" x14ac:dyDescent="0.25">
      <c r="A199" s="111">
        <f>Données!A199</f>
        <v>5726</v>
      </c>
      <c r="B199" s="123" t="str">
        <f>Données!B199</f>
        <v>La Rippe</v>
      </c>
      <c r="C199" s="252">
        <f>Données!C199</f>
        <v>1218</v>
      </c>
      <c r="D199" s="249">
        <f>RFS!W199</f>
        <v>5129507.6309672045</v>
      </c>
      <c r="E199" s="265"/>
      <c r="F199" s="271">
        <f t="shared" si="18"/>
        <v>4211.4184162292322</v>
      </c>
      <c r="G199" s="265">
        <f t="shared" si="23"/>
        <v>748.68498489032982</v>
      </c>
      <c r="H199" s="272">
        <f t="shared" si="19"/>
        <v>729518.64927713748</v>
      </c>
      <c r="I199" s="244"/>
      <c r="J199" s="236">
        <f t="shared" si="24"/>
        <v>3612.4704283169681</v>
      </c>
      <c r="K199" s="265">
        <f t="shared" si="20"/>
        <v>0</v>
      </c>
      <c r="L199" s="272">
        <f t="shared" si="25"/>
        <v>0</v>
      </c>
      <c r="M199" s="265"/>
      <c r="N199" s="274">
        <f>Données!S199</f>
        <v>132965.79999999999</v>
      </c>
      <c r="O199" s="274">
        <f>Données!T199</f>
        <v>0</v>
      </c>
      <c r="P199" s="274">
        <f>Données!U199</f>
        <v>211306.8</v>
      </c>
      <c r="Q199" s="249">
        <f>Données!V199</f>
        <v>34805.699999999997</v>
      </c>
      <c r="R199" s="236">
        <f t="shared" si="21"/>
        <v>182578.00999999998</v>
      </c>
      <c r="S199" s="253">
        <f t="shared" si="22"/>
        <v>-312630.72395219537</v>
      </c>
      <c r="T199" s="254">
        <f t="shared" si="26"/>
        <v>-130052.71395219539</v>
      </c>
    </row>
    <row r="200" spans="1:20" x14ac:dyDescent="0.25">
      <c r="A200" s="111">
        <f>Données!A200</f>
        <v>5727</v>
      </c>
      <c r="B200" s="123" t="str">
        <f>Données!B200</f>
        <v>Saint-Cergue</v>
      </c>
      <c r="C200" s="252">
        <f>Données!C200</f>
        <v>3057</v>
      </c>
      <c r="D200" s="249">
        <f>RFS!W200</f>
        <v>6665028.2672438752</v>
      </c>
      <c r="E200" s="265"/>
      <c r="F200" s="271">
        <f t="shared" ref="F200:F263" si="27">D200/C200</f>
        <v>2180.2513141131421</v>
      </c>
      <c r="G200" s="265">
        <f t="shared" si="23"/>
        <v>-1282.4821172257602</v>
      </c>
      <c r="H200" s="272">
        <f t="shared" ref="H200:H263" si="28">G200*$G$6*C200</f>
        <v>-3136438.2658873196</v>
      </c>
      <c r="I200" s="244"/>
      <c r="J200" s="236">
        <f t="shared" si="24"/>
        <v>3206.2370078937506</v>
      </c>
      <c r="K200" s="265">
        <f t="shared" ref="K200:K263" si="29">IF(J200&lt;$J$6,J200-($J$6),0)</f>
        <v>0</v>
      </c>
      <c r="L200" s="272">
        <f t="shared" si="25"/>
        <v>0</v>
      </c>
      <c r="M200" s="265"/>
      <c r="N200" s="274">
        <f>Données!S200</f>
        <v>369007.35</v>
      </c>
      <c r="O200" s="274">
        <f>Données!T200</f>
        <v>70023</v>
      </c>
      <c r="P200" s="274">
        <f>Données!U200</f>
        <v>329444.75</v>
      </c>
      <c r="Q200" s="249">
        <f>Données!V200</f>
        <v>281407.05</v>
      </c>
      <c r="R200" s="236">
        <f t="shared" ref="R200:R263" si="30">SUMPRODUCT($N$6:$Q$6,N200:Q200)</f>
        <v>468659.66499999998</v>
      </c>
      <c r="S200" s="253">
        <f t="shared" ref="S200:S263" si="31">-($R$308-$S$6)/$C$308*C200</f>
        <v>-784656.91553518979</v>
      </c>
      <c r="T200" s="254">
        <f t="shared" si="26"/>
        <v>-315997.25053518981</v>
      </c>
    </row>
    <row r="201" spans="1:20" x14ac:dyDescent="0.25">
      <c r="A201" s="111">
        <f>Données!A201</f>
        <v>5728</v>
      </c>
      <c r="B201" s="123" t="str">
        <f>Données!B201</f>
        <v>Signy-Avenex</v>
      </c>
      <c r="C201" s="252">
        <f>Données!C201</f>
        <v>586</v>
      </c>
      <c r="D201" s="249">
        <f>RFS!W201</f>
        <v>3253771.6550810528</v>
      </c>
      <c r="E201" s="265"/>
      <c r="F201" s="271">
        <f t="shared" si="27"/>
        <v>5552.511356793605</v>
      </c>
      <c r="G201" s="265">
        <f t="shared" ref="G201:G264" si="32">F201-$F$308</f>
        <v>2089.7779254547027</v>
      </c>
      <c r="H201" s="272">
        <f t="shared" si="28"/>
        <v>979687.89145316463</v>
      </c>
      <c r="I201" s="244"/>
      <c r="J201" s="236">
        <f t="shared" ref="J201:J264" si="33">(D201-H201)/C201</f>
        <v>3880.6890164298434</v>
      </c>
      <c r="K201" s="265">
        <f t="shared" si="29"/>
        <v>0</v>
      </c>
      <c r="L201" s="272">
        <f t="shared" ref="L201:L264" si="34">ROUND(K201*C201,0)</f>
        <v>0</v>
      </c>
      <c r="M201" s="265"/>
      <c r="N201" s="274">
        <f>Données!S201</f>
        <v>476633</v>
      </c>
      <c r="O201" s="274">
        <f>Données!T201</f>
        <v>0</v>
      </c>
      <c r="P201" s="274">
        <f>Données!U201</f>
        <v>36721.050000000003</v>
      </c>
      <c r="Q201" s="249">
        <f>Données!V201</f>
        <v>282629.95</v>
      </c>
      <c r="R201" s="236">
        <f t="shared" si="30"/>
        <v>341466.01</v>
      </c>
      <c r="S201" s="253">
        <f t="shared" si="31"/>
        <v>-150411.82613791994</v>
      </c>
      <c r="T201" s="254">
        <f t="shared" ref="T201:T264" si="35">R201+S201</f>
        <v>191054.18386208007</v>
      </c>
    </row>
    <row r="202" spans="1:20" x14ac:dyDescent="0.25">
      <c r="A202" s="111">
        <f>Données!A202</f>
        <v>5729</v>
      </c>
      <c r="B202" s="123" t="str">
        <f>Données!B202</f>
        <v>Tannay</v>
      </c>
      <c r="C202" s="252">
        <f>Données!C202</f>
        <v>1732</v>
      </c>
      <c r="D202" s="249">
        <f>RFS!W202</f>
        <v>12404101.264251055</v>
      </c>
      <c r="E202" s="265"/>
      <c r="F202" s="271">
        <f t="shared" si="27"/>
        <v>7161.721284209616</v>
      </c>
      <c r="G202" s="265">
        <f t="shared" si="32"/>
        <v>3698.9878528707136</v>
      </c>
      <c r="H202" s="272">
        <f t="shared" si="28"/>
        <v>5125317.5689376611</v>
      </c>
      <c r="I202" s="244"/>
      <c r="J202" s="236">
        <f t="shared" si="33"/>
        <v>4202.5310019130447</v>
      </c>
      <c r="K202" s="265">
        <f t="shared" si="29"/>
        <v>0</v>
      </c>
      <c r="L202" s="272">
        <f t="shared" si="34"/>
        <v>0</v>
      </c>
      <c r="M202" s="265"/>
      <c r="N202" s="274">
        <f>Données!S202</f>
        <v>631094.05000000005</v>
      </c>
      <c r="O202" s="274">
        <f>Données!T202</f>
        <v>2904</v>
      </c>
      <c r="P202" s="274">
        <f>Données!U202</f>
        <v>507826.25</v>
      </c>
      <c r="Q202" s="249">
        <f>Données!V202</f>
        <v>25866</v>
      </c>
      <c r="R202" s="236">
        <f t="shared" si="30"/>
        <v>578671.95000000007</v>
      </c>
      <c r="S202" s="253">
        <f t="shared" si="31"/>
        <v>-444561.91616190667</v>
      </c>
      <c r="T202" s="254">
        <f t="shared" si="35"/>
        <v>134110.0338380934</v>
      </c>
    </row>
    <row r="203" spans="1:20" x14ac:dyDescent="0.25">
      <c r="A203" s="111">
        <f>Données!A203</f>
        <v>5730</v>
      </c>
      <c r="B203" s="123" t="str">
        <f>Données!B203</f>
        <v>Trélex</v>
      </c>
      <c r="C203" s="252">
        <f>Données!C203</f>
        <v>1427</v>
      </c>
      <c r="D203" s="249">
        <f>RFS!W203</f>
        <v>9704138.3097156603</v>
      </c>
      <c r="E203" s="265"/>
      <c r="F203" s="271">
        <f t="shared" si="27"/>
        <v>6800.3772317558933</v>
      </c>
      <c r="G203" s="265">
        <f t="shared" si="32"/>
        <v>3337.6438004169909</v>
      </c>
      <c r="H203" s="272">
        <f t="shared" si="28"/>
        <v>3810254.1625560368</v>
      </c>
      <c r="I203" s="244"/>
      <c r="J203" s="236">
        <f t="shared" si="33"/>
        <v>4130.2621914223009</v>
      </c>
      <c r="K203" s="265">
        <f t="shared" si="29"/>
        <v>0</v>
      </c>
      <c r="L203" s="272">
        <f t="shared" si="34"/>
        <v>0</v>
      </c>
      <c r="M203" s="265"/>
      <c r="N203" s="274">
        <f>Données!S203</f>
        <v>232190.65</v>
      </c>
      <c r="O203" s="274">
        <f>Données!T203</f>
        <v>17062.599999999999</v>
      </c>
      <c r="P203" s="274">
        <f>Données!U203</f>
        <v>385512.25</v>
      </c>
      <c r="Q203" s="249">
        <f>Données!V203</f>
        <v>23219.7</v>
      </c>
      <c r="R203" s="236">
        <f t="shared" si="30"/>
        <v>324348.65999999997</v>
      </c>
      <c r="S203" s="253">
        <f t="shared" si="31"/>
        <v>-366275.8974382453</v>
      </c>
      <c r="T203" s="254">
        <f t="shared" si="35"/>
        <v>-41927.237438245327</v>
      </c>
    </row>
    <row r="204" spans="1:20" x14ac:dyDescent="0.25">
      <c r="A204" s="111">
        <f>Données!A204</f>
        <v>5731</v>
      </c>
      <c r="B204" s="123" t="str">
        <f>Données!B204</f>
        <v>Le Vaud</v>
      </c>
      <c r="C204" s="252">
        <f>Données!C204</f>
        <v>1374</v>
      </c>
      <c r="D204" s="249">
        <f>RFS!W204</f>
        <v>4564338.057333719</v>
      </c>
      <c r="E204" s="265"/>
      <c r="F204" s="271">
        <f t="shared" si="27"/>
        <v>3321.9345395441915</v>
      </c>
      <c r="G204" s="265">
        <f t="shared" si="32"/>
        <v>-140.79889179471093</v>
      </c>
      <c r="H204" s="272">
        <f t="shared" si="28"/>
        <v>-154766.14186074625</v>
      </c>
      <c r="I204" s="244"/>
      <c r="J204" s="236">
        <f t="shared" si="33"/>
        <v>3434.5736529799597</v>
      </c>
      <c r="K204" s="265">
        <f t="shared" si="29"/>
        <v>0</v>
      </c>
      <c r="L204" s="272">
        <f t="shared" si="34"/>
        <v>0</v>
      </c>
      <c r="M204" s="265"/>
      <c r="N204" s="274">
        <f>Données!S204</f>
        <v>199953.05</v>
      </c>
      <c r="O204" s="274">
        <f>Données!T204</f>
        <v>0</v>
      </c>
      <c r="P204" s="274">
        <f>Données!U204</f>
        <v>239697.6</v>
      </c>
      <c r="Q204" s="249">
        <f>Données!V204</f>
        <v>32606.35</v>
      </c>
      <c r="R204" s="236">
        <f t="shared" si="30"/>
        <v>229607.23</v>
      </c>
      <c r="S204" s="253">
        <f t="shared" si="31"/>
        <v>-352672.09746331396</v>
      </c>
      <c r="T204" s="254">
        <f t="shared" si="35"/>
        <v>-123064.86746331395</v>
      </c>
    </row>
    <row r="205" spans="1:20" x14ac:dyDescent="0.25">
      <c r="A205" s="111">
        <f>Données!A205</f>
        <v>5732</v>
      </c>
      <c r="B205" s="123" t="str">
        <f>Données!B205</f>
        <v>Vich</v>
      </c>
      <c r="C205" s="252">
        <f>Données!C205</f>
        <v>1174</v>
      </c>
      <c r="D205" s="249">
        <f>RFS!W205</f>
        <v>6345452.1528784819</v>
      </c>
      <c r="E205" s="265"/>
      <c r="F205" s="271">
        <f t="shared" si="27"/>
        <v>5404.9847980225568</v>
      </c>
      <c r="G205" s="265">
        <f t="shared" si="32"/>
        <v>1942.2513666836544</v>
      </c>
      <c r="H205" s="272">
        <f t="shared" si="28"/>
        <v>1824162.4835892883</v>
      </c>
      <c r="I205" s="244"/>
      <c r="J205" s="236">
        <f t="shared" si="33"/>
        <v>3851.1837046756336</v>
      </c>
      <c r="K205" s="265">
        <f t="shared" si="29"/>
        <v>0</v>
      </c>
      <c r="L205" s="272">
        <f t="shared" si="34"/>
        <v>0</v>
      </c>
      <c r="M205" s="265"/>
      <c r="N205" s="274">
        <f>Données!S205</f>
        <v>185891.8</v>
      </c>
      <c r="O205" s="274">
        <f>Données!T205</f>
        <v>17199</v>
      </c>
      <c r="P205" s="274">
        <f>Données!U205</f>
        <v>156372.45000000001</v>
      </c>
      <c r="Q205" s="249">
        <f>Données!V205</f>
        <v>147525.4</v>
      </c>
      <c r="R205" s="236">
        <f t="shared" si="30"/>
        <v>223989.245</v>
      </c>
      <c r="S205" s="253">
        <f t="shared" si="31"/>
        <v>-301337.0032182901</v>
      </c>
      <c r="T205" s="254">
        <f t="shared" si="35"/>
        <v>-77347.75821829011</v>
      </c>
    </row>
    <row r="206" spans="1:20" x14ac:dyDescent="0.25">
      <c r="A206" s="111">
        <f>Données!A206</f>
        <v>5741</v>
      </c>
      <c r="B206" s="123" t="str">
        <f>Données!B206</f>
        <v>L'Abergement</v>
      </c>
      <c r="C206" s="252">
        <f>Données!C206</f>
        <v>267</v>
      </c>
      <c r="D206" s="249">
        <f>RFS!W206</f>
        <v>591998.32166461984</v>
      </c>
      <c r="E206" s="265"/>
      <c r="F206" s="271">
        <f t="shared" si="27"/>
        <v>2217.2221785191755</v>
      </c>
      <c r="G206" s="265">
        <f t="shared" si="32"/>
        <v>-1245.5112528197269</v>
      </c>
      <c r="H206" s="272">
        <f t="shared" si="28"/>
        <v>-266041.20360229368</v>
      </c>
      <c r="I206" s="244"/>
      <c r="J206" s="236">
        <f t="shared" si="33"/>
        <v>3213.6311807749566</v>
      </c>
      <c r="K206" s="265">
        <f t="shared" si="29"/>
        <v>0</v>
      </c>
      <c r="L206" s="272">
        <f t="shared" si="34"/>
        <v>0</v>
      </c>
      <c r="M206" s="265"/>
      <c r="N206" s="274">
        <f>Données!S206</f>
        <v>26323.45</v>
      </c>
      <c r="O206" s="274">
        <f>Données!T206</f>
        <v>3.5</v>
      </c>
      <c r="P206" s="274">
        <f>Données!U206</f>
        <v>26935.5</v>
      </c>
      <c r="Q206" s="249">
        <f>Données!V206</f>
        <v>12588.45</v>
      </c>
      <c r="R206" s="236">
        <f t="shared" si="30"/>
        <v>30407.759999999998</v>
      </c>
      <c r="S206" s="253">
        <f t="shared" si="31"/>
        <v>-68532.350817106868</v>
      </c>
      <c r="T206" s="254">
        <f t="shared" si="35"/>
        <v>-38124.590817106873</v>
      </c>
    </row>
    <row r="207" spans="1:20" x14ac:dyDescent="0.25">
      <c r="A207" s="111">
        <f>Données!A207</f>
        <v>5742</v>
      </c>
      <c r="B207" s="123" t="str">
        <f>Données!B207</f>
        <v>Agiez</v>
      </c>
      <c r="C207" s="252">
        <f>Données!C207</f>
        <v>382</v>
      </c>
      <c r="D207" s="249">
        <f>RFS!W207</f>
        <v>781443.60395594093</v>
      </c>
      <c r="E207" s="265"/>
      <c r="F207" s="271">
        <f t="shared" si="27"/>
        <v>2045.663884701416</v>
      </c>
      <c r="G207" s="265">
        <f t="shared" si="32"/>
        <v>-1417.0695466374864</v>
      </c>
      <c r="H207" s="272">
        <f t="shared" si="28"/>
        <v>-433056.45345241582</v>
      </c>
      <c r="I207" s="244"/>
      <c r="J207" s="236">
        <f t="shared" si="33"/>
        <v>3179.3195220114053</v>
      </c>
      <c r="K207" s="265">
        <f t="shared" si="29"/>
        <v>0</v>
      </c>
      <c r="L207" s="272">
        <f t="shared" si="34"/>
        <v>0</v>
      </c>
      <c r="M207" s="265"/>
      <c r="N207" s="274">
        <f>Données!S207</f>
        <v>7150</v>
      </c>
      <c r="O207" s="274">
        <f>Données!T207</f>
        <v>9638.7000000000007</v>
      </c>
      <c r="P207" s="274">
        <f>Données!U207</f>
        <v>42649.25</v>
      </c>
      <c r="Q207" s="249">
        <f>Données!V207</f>
        <v>1214.9000000000001</v>
      </c>
      <c r="R207" s="236">
        <f t="shared" si="30"/>
        <v>30083.445</v>
      </c>
      <c r="S207" s="253">
        <f t="shared" si="31"/>
        <v>-98050.030007995592</v>
      </c>
      <c r="T207" s="254">
        <f t="shared" si="35"/>
        <v>-67966.5850079956</v>
      </c>
    </row>
    <row r="208" spans="1:20" x14ac:dyDescent="0.25">
      <c r="A208" s="111">
        <f>Données!A208</f>
        <v>5743</v>
      </c>
      <c r="B208" s="123" t="str">
        <f>Données!B208</f>
        <v>Arnex-sur-Orbe</v>
      </c>
      <c r="C208" s="252">
        <f>Données!C208</f>
        <v>698</v>
      </c>
      <c r="D208" s="249">
        <f>RFS!W208</f>
        <v>1258211.009553293</v>
      </c>
      <c r="E208" s="265"/>
      <c r="F208" s="271">
        <f t="shared" si="27"/>
        <v>1802.5945695605917</v>
      </c>
      <c r="G208" s="265">
        <f t="shared" si="32"/>
        <v>-1660.1388617783107</v>
      </c>
      <c r="H208" s="272">
        <f t="shared" si="28"/>
        <v>-927021.54041700868</v>
      </c>
      <c r="I208" s="244"/>
      <c r="J208" s="236">
        <f t="shared" si="33"/>
        <v>3130.7056589832405</v>
      </c>
      <c r="K208" s="265">
        <f t="shared" si="29"/>
        <v>0</v>
      </c>
      <c r="L208" s="272">
        <f t="shared" si="34"/>
        <v>0</v>
      </c>
      <c r="M208" s="265"/>
      <c r="N208" s="274">
        <f>Données!S208</f>
        <v>21399.55</v>
      </c>
      <c r="O208" s="274">
        <f>Données!T208</f>
        <v>0</v>
      </c>
      <c r="P208" s="274">
        <f>Données!U208</f>
        <v>13205.85</v>
      </c>
      <c r="Q208" s="249">
        <f>Données!V208</f>
        <v>27638.6</v>
      </c>
      <c r="R208" s="236">
        <f t="shared" si="30"/>
        <v>25594.28</v>
      </c>
      <c r="S208" s="253">
        <f t="shared" si="31"/>
        <v>-179159.47891513331</v>
      </c>
      <c r="T208" s="254">
        <f t="shared" si="35"/>
        <v>-153565.19891513331</v>
      </c>
    </row>
    <row r="209" spans="1:20" x14ac:dyDescent="0.25">
      <c r="A209" s="111">
        <f>Données!A209</f>
        <v>5744</v>
      </c>
      <c r="B209" s="123" t="str">
        <f>Données!B209</f>
        <v>Ballaigues</v>
      </c>
      <c r="C209" s="252">
        <f>Données!C209</f>
        <v>1217</v>
      </c>
      <c r="D209" s="249">
        <f>RFS!W209</f>
        <v>3702514.8607650721</v>
      </c>
      <c r="E209" s="265"/>
      <c r="F209" s="271">
        <f t="shared" si="27"/>
        <v>3042.3293843591391</v>
      </c>
      <c r="G209" s="265">
        <f t="shared" si="32"/>
        <v>-420.40404697976328</v>
      </c>
      <c r="H209" s="272">
        <f t="shared" si="28"/>
        <v>-409305.38013949752</v>
      </c>
      <c r="I209" s="244"/>
      <c r="J209" s="236">
        <f t="shared" si="33"/>
        <v>3378.6526219429497</v>
      </c>
      <c r="K209" s="265">
        <f t="shared" si="29"/>
        <v>0</v>
      </c>
      <c r="L209" s="272">
        <f t="shared" si="34"/>
        <v>0</v>
      </c>
      <c r="M209" s="265"/>
      <c r="N209" s="274">
        <f>Données!S209</f>
        <v>95391.35</v>
      </c>
      <c r="O209" s="274">
        <f>Données!T209</f>
        <v>0</v>
      </c>
      <c r="P209" s="274">
        <f>Données!U209</f>
        <v>53171</v>
      </c>
      <c r="Q209" s="249">
        <f>Données!V209</f>
        <v>1033265.45</v>
      </c>
      <c r="R209" s="236">
        <f t="shared" si="30"/>
        <v>384260.80999999994</v>
      </c>
      <c r="S209" s="253">
        <f t="shared" si="31"/>
        <v>-312374.04848097026</v>
      </c>
      <c r="T209" s="254">
        <f t="shared" si="35"/>
        <v>71886.761519029678</v>
      </c>
    </row>
    <row r="210" spans="1:20" x14ac:dyDescent="0.25">
      <c r="A210" s="111">
        <f>Données!A210</f>
        <v>5745</v>
      </c>
      <c r="B210" s="123" t="str">
        <f>Données!B210</f>
        <v>Baulmes</v>
      </c>
      <c r="C210" s="252">
        <f>Données!C210</f>
        <v>1189</v>
      </c>
      <c r="D210" s="249">
        <f>RFS!W210</f>
        <v>2063508.0557289214</v>
      </c>
      <c r="E210" s="265"/>
      <c r="F210" s="271">
        <f t="shared" si="27"/>
        <v>1735.4987853060736</v>
      </c>
      <c r="G210" s="265">
        <f t="shared" si="32"/>
        <v>-1727.2346460328288</v>
      </c>
      <c r="H210" s="272">
        <f t="shared" si="28"/>
        <v>-1642945.5953064268</v>
      </c>
      <c r="I210" s="244"/>
      <c r="J210" s="236">
        <f t="shared" si="33"/>
        <v>3117.2865021323364</v>
      </c>
      <c r="K210" s="265">
        <f t="shared" si="29"/>
        <v>0</v>
      </c>
      <c r="L210" s="272">
        <f t="shared" si="34"/>
        <v>0</v>
      </c>
      <c r="M210" s="265"/>
      <c r="N210" s="274">
        <f>Données!S210</f>
        <v>48196.6</v>
      </c>
      <c r="O210" s="274">
        <f>Données!T210</f>
        <v>0</v>
      </c>
      <c r="P210" s="274">
        <f>Données!U210</f>
        <v>48493.2</v>
      </c>
      <c r="Q210" s="249">
        <f>Données!V210</f>
        <v>245278.85</v>
      </c>
      <c r="R210" s="236">
        <f t="shared" si="30"/>
        <v>121928.55499999999</v>
      </c>
      <c r="S210" s="253">
        <f t="shared" si="31"/>
        <v>-305187.13528666692</v>
      </c>
      <c r="T210" s="254">
        <f t="shared" si="35"/>
        <v>-183258.58028666693</v>
      </c>
    </row>
    <row r="211" spans="1:20" x14ac:dyDescent="0.25">
      <c r="A211" s="111">
        <f>Données!A211</f>
        <v>5746</v>
      </c>
      <c r="B211" s="123" t="str">
        <f>Données!B211</f>
        <v>Bavois</v>
      </c>
      <c r="C211" s="252">
        <f>Données!C211</f>
        <v>1055</v>
      </c>
      <c r="D211" s="249">
        <f>RFS!W211</f>
        <v>2520783.4280864527</v>
      </c>
      <c r="E211" s="265"/>
      <c r="F211" s="271">
        <f t="shared" si="27"/>
        <v>2389.3681782809977</v>
      </c>
      <c r="G211" s="265">
        <f t="shared" si="32"/>
        <v>-1073.3652530579047</v>
      </c>
      <c r="H211" s="272">
        <f t="shared" si="28"/>
        <v>-905920.27358087164</v>
      </c>
      <c r="I211" s="244"/>
      <c r="J211" s="236">
        <f t="shared" si="33"/>
        <v>3248.0603807273214</v>
      </c>
      <c r="K211" s="265">
        <f t="shared" si="29"/>
        <v>0</v>
      </c>
      <c r="L211" s="272">
        <f t="shared" si="34"/>
        <v>0</v>
      </c>
      <c r="M211" s="265"/>
      <c r="N211" s="274">
        <f>Données!S211</f>
        <v>186052.05</v>
      </c>
      <c r="O211" s="274">
        <f>Données!T211</f>
        <v>35566.300000000003</v>
      </c>
      <c r="P211" s="274">
        <f>Données!U211</f>
        <v>89012.7</v>
      </c>
      <c r="Q211" s="249">
        <f>Données!V211</f>
        <v>23221.9</v>
      </c>
      <c r="R211" s="236">
        <f t="shared" si="30"/>
        <v>162282.095</v>
      </c>
      <c r="S211" s="253">
        <f t="shared" si="31"/>
        <v>-270792.62214250088</v>
      </c>
      <c r="T211" s="254">
        <f t="shared" si="35"/>
        <v>-108510.52714250088</v>
      </c>
    </row>
    <row r="212" spans="1:20" x14ac:dyDescent="0.25">
      <c r="A212" s="111">
        <f>Données!A212</f>
        <v>5747</v>
      </c>
      <c r="B212" s="123" t="str">
        <f>Données!B212</f>
        <v>Bofflens</v>
      </c>
      <c r="C212" s="252">
        <f>Données!C212</f>
        <v>201</v>
      </c>
      <c r="D212" s="249">
        <f>RFS!W212</f>
        <v>458294.38150763273</v>
      </c>
      <c r="E212" s="265"/>
      <c r="F212" s="271">
        <f t="shared" si="27"/>
        <v>2280.0715497892174</v>
      </c>
      <c r="G212" s="265">
        <f t="shared" si="32"/>
        <v>-1182.6618815496849</v>
      </c>
      <c r="H212" s="272">
        <f t="shared" si="28"/>
        <v>-190172.03055318934</v>
      </c>
      <c r="I212" s="244"/>
      <c r="J212" s="236">
        <f t="shared" si="33"/>
        <v>3226.2010550289656</v>
      </c>
      <c r="K212" s="265">
        <f t="shared" si="29"/>
        <v>0</v>
      </c>
      <c r="L212" s="272">
        <f t="shared" si="34"/>
        <v>0</v>
      </c>
      <c r="M212" s="265"/>
      <c r="N212" s="274">
        <f>Données!S212</f>
        <v>0</v>
      </c>
      <c r="O212" s="274">
        <f>Données!T212</f>
        <v>213725.1</v>
      </c>
      <c r="P212" s="274">
        <f>Données!U212</f>
        <v>-2266.15</v>
      </c>
      <c r="Q212" s="249">
        <f>Données!V212</f>
        <v>1328.9</v>
      </c>
      <c r="R212" s="236">
        <f t="shared" si="30"/>
        <v>106128.145</v>
      </c>
      <c r="S212" s="253">
        <f t="shared" si="31"/>
        <v>-51591.769716248986</v>
      </c>
      <c r="T212" s="254">
        <f t="shared" si="35"/>
        <v>54536.375283751018</v>
      </c>
    </row>
    <row r="213" spans="1:20" x14ac:dyDescent="0.25">
      <c r="A213" s="111">
        <f>Données!A213</f>
        <v>5748</v>
      </c>
      <c r="B213" s="123" t="str">
        <f>Données!B213</f>
        <v>Bretonnières</v>
      </c>
      <c r="C213" s="252">
        <f>Données!C213</f>
        <v>265</v>
      </c>
      <c r="D213" s="249">
        <f>RFS!W213</f>
        <v>439286.74287110195</v>
      </c>
      <c r="E213" s="265"/>
      <c r="F213" s="271">
        <f t="shared" si="27"/>
        <v>1657.6858221551017</v>
      </c>
      <c r="G213" s="265">
        <f t="shared" si="32"/>
        <v>-1805.0476091838007</v>
      </c>
      <c r="H213" s="272">
        <f t="shared" si="28"/>
        <v>-382670.09314696578</v>
      </c>
      <c r="I213" s="244"/>
      <c r="J213" s="236">
        <f t="shared" si="33"/>
        <v>3101.7239095021428</v>
      </c>
      <c r="K213" s="265">
        <f t="shared" si="29"/>
        <v>-14.736178702869438</v>
      </c>
      <c r="L213" s="272">
        <f t="shared" si="34"/>
        <v>-3905</v>
      </c>
      <c r="M213" s="265"/>
      <c r="N213" s="274">
        <f>Données!S213</f>
        <v>54136.3</v>
      </c>
      <c r="O213" s="274">
        <f>Données!T213</f>
        <v>0</v>
      </c>
      <c r="P213" s="274">
        <f>Données!U213</f>
        <v>28645.5</v>
      </c>
      <c r="Q213" s="249">
        <f>Données!V213</f>
        <v>11898.7</v>
      </c>
      <c r="R213" s="236">
        <f t="shared" si="30"/>
        <v>44960.51</v>
      </c>
      <c r="S213" s="253">
        <f t="shared" si="31"/>
        <v>-68018.999874656627</v>
      </c>
      <c r="T213" s="254">
        <f t="shared" si="35"/>
        <v>-23058.489874656625</v>
      </c>
    </row>
    <row r="214" spans="1:20" x14ac:dyDescent="0.25">
      <c r="A214" s="111">
        <f>Données!A214</f>
        <v>5749</v>
      </c>
      <c r="B214" s="123" t="str">
        <f>Données!B214</f>
        <v>Chavornay</v>
      </c>
      <c r="C214" s="252">
        <f>Données!C214</f>
        <v>5374</v>
      </c>
      <c r="D214" s="249">
        <f>RFS!W214</f>
        <v>10919344.373250123</v>
      </c>
      <c r="E214" s="265"/>
      <c r="F214" s="271">
        <f t="shared" si="27"/>
        <v>2031.8839548288283</v>
      </c>
      <c r="G214" s="265">
        <f t="shared" si="32"/>
        <v>-1430.8494765100741</v>
      </c>
      <c r="H214" s="272">
        <f t="shared" si="28"/>
        <v>-6151508.0694121104</v>
      </c>
      <c r="I214" s="244"/>
      <c r="J214" s="236">
        <f t="shared" si="33"/>
        <v>3176.5635360368869</v>
      </c>
      <c r="K214" s="265">
        <f t="shared" si="29"/>
        <v>0</v>
      </c>
      <c r="L214" s="272">
        <f t="shared" si="34"/>
        <v>0</v>
      </c>
      <c r="M214" s="265"/>
      <c r="N214" s="274">
        <f>Données!S214</f>
        <v>560211.19999999995</v>
      </c>
      <c r="O214" s="274">
        <f>Données!T214</f>
        <v>36401.599999999999</v>
      </c>
      <c r="P214" s="274">
        <f>Données!U214</f>
        <v>453501.5</v>
      </c>
      <c r="Q214" s="249">
        <f>Données!V214</f>
        <v>863932.8</v>
      </c>
      <c r="R214" s="236">
        <f t="shared" si="30"/>
        <v>784236.98999999987</v>
      </c>
      <c r="S214" s="253">
        <f t="shared" si="31"/>
        <v>-1379373.9823637914</v>
      </c>
      <c r="T214" s="254">
        <f t="shared" si="35"/>
        <v>-595136.99236379156</v>
      </c>
    </row>
    <row r="215" spans="1:20" x14ac:dyDescent="0.25">
      <c r="A215" s="111">
        <f>Données!A215</f>
        <v>5750</v>
      </c>
      <c r="B215" s="123" t="str">
        <f>Données!B215</f>
        <v>Les Clées</v>
      </c>
      <c r="C215" s="252">
        <f>Données!C215</f>
        <v>195</v>
      </c>
      <c r="D215" s="249">
        <f>RFS!W215</f>
        <v>435256.46654929523</v>
      </c>
      <c r="E215" s="265"/>
      <c r="F215" s="271">
        <f t="shared" si="27"/>
        <v>2232.0844438425397</v>
      </c>
      <c r="G215" s="265">
        <f t="shared" si="32"/>
        <v>-1230.6489874963627</v>
      </c>
      <c r="H215" s="272">
        <f t="shared" si="28"/>
        <v>-191981.24204943259</v>
      </c>
      <c r="I215" s="244"/>
      <c r="J215" s="236">
        <f t="shared" si="33"/>
        <v>3216.6036338396298</v>
      </c>
      <c r="K215" s="265">
        <f t="shared" si="29"/>
        <v>0</v>
      </c>
      <c r="L215" s="272">
        <f t="shared" si="34"/>
        <v>0</v>
      </c>
      <c r="M215" s="265"/>
      <c r="N215" s="274">
        <f>Données!S215</f>
        <v>6638.55</v>
      </c>
      <c r="O215" s="274">
        <f>Données!T215</f>
        <v>0</v>
      </c>
      <c r="P215" s="274">
        <f>Données!U215</f>
        <v>8244.9</v>
      </c>
      <c r="Q215" s="249">
        <f>Données!V215</f>
        <v>6434.15</v>
      </c>
      <c r="R215" s="236">
        <f t="shared" si="30"/>
        <v>9371.9700000000012</v>
      </c>
      <c r="S215" s="253">
        <f t="shared" si="31"/>
        <v>-50051.716888898271</v>
      </c>
      <c r="T215" s="254">
        <f t="shared" si="35"/>
        <v>-40679.746888898269</v>
      </c>
    </row>
    <row r="216" spans="1:20" x14ac:dyDescent="0.25">
      <c r="A216" s="111">
        <f>Données!A216</f>
        <v>5752</v>
      </c>
      <c r="B216" s="123" t="str">
        <f>Données!B216</f>
        <v>Croy</v>
      </c>
      <c r="C216" s="252">
        <f>Données!C216</f>
        <v>408</v>
      </c>
      <c r="D216" s="249">
        <f>RFS!W216</f>
        <v>872511.97141771426</v>
      </c>
      <c r="E216" s="265"/>
      <c r="F216" s="271">
        <f t="shared" si="27"/>
        <v>2138.5097338669466</v>
      </c>
      <c r="G216" s="265">
        <f t="shared" si="32"/>
        <v>-1324.2236974719558</v>
      </c>
      <c r="H216" s="272">
        <f t="shared" si="28"/>
        <v>-432226.61485484638</v>
      </c>
      <c r="I216" s="244"/>
      <c r="J216" s="236">
        <f t="shared" si="33"/>
        <v>3197.888691844511</v>
      </c>
      <c r="K216" s="265">
        <f t="shared" si="29"/>
        <v>0</v>
      </c>
      <c r="L216" s="272">
        <f t="shared" si="34"/>
        <v>0</v>
      </c>
      <c r="M216" s="265"/>
      <c r="N216" s="274">
        <f>Données!S216</f>
        <v>15586.9</v>
      </c>
      <c r="O216" s="274">
        <f>Données!T216</f>
        <v>0</v>
      </c>
      <c r="P216" s="274">
        <f>Données!U216</f>
        <v>16623.7</v>
      </c>
      <c r="Q216" s="249">
        <f>Données!V216</f>
        <v>57352.6</v>
      </c>
      <c r="R216" s="236">
        <f t="shared" si="30"/>
        <v>33311.08</v>
      </c>
      <c r="S216" s="253">
        <f t="shared" si="31"/>
        <v>-104723.59225984869</v>
      </c>
      <c r="T216" s="254">
        <f t="shared" si="35"/>
        <v>-71412.512259848692</v>
      </c>
    </row>
    <row r="217" spans="1:20" x14ac:dyDescent="0.25">
      <c r="A217" s="111">
        <f>Données!A217</f>
        <v>5754</v>
      </c>
      <c r="B217" s="123" t="str">
        <f>Données!B217</f>
        <v>Juriens</v>
      </c>
      <c r="C217" s="252">
        <f>Données!C217</f>
        <v>345</v>
      </c>
      <c r="D217" s="249">
        <f>RFS!W217</f>
        <v>623198.05734013941</v>
      </c>
      <c r="E217" s="265"/>
      <c r="F217" s="271">
        <f t="shared" si="27"/>
        <v>1806.3711806960562</v>
      </c>
      <c r="G217" s="265">
        <f t="shared" si="32"/>
        <v>-1656.3622506428462</v>
      </c>
      <c r="H217" s="272">
        <f t="shared" si="28"/>
        <v>-457155.98117742559</v>
      </c>
      <c r="I217" s="244"/>
      <c r="J217" s="236">
        <f t="shared" si="33"/>
        <v>3131.4609812103336</v>
      </c>
      <c r="K217" s="265">
        <f t="shared" si="29"/>
        <v>0</v>
      </c>
      <c r="L217" s="272">
        <f t="shared" si="34"/>
        <v>0</v>
      </c>
      <c r="M217" s="265"/>
      <c r="N217" s="274">
        <f>Données!S217</f>
        <v>33011</v>
      </c>
      <c r="O217" s="274">
        <f>Données!T217</f>
        <v>19.2</v>
      </c>
      <c r="P217" s="274">
        <f>Données!U217</f>
        <v>22654.35</v>
      </c>
      <c r="Q217" s="249">
        <f>Données!V217</f>
        <v>10878.25</v>
      </c>
      <c r="R217" s="236">
        <f t="shared" si="30"/>
        <v>31105.749999999996</v>
      </c>
      <c r="S217" s="253">
        <f t="shared" si="31"/>
        <v>-88553.037572666173</v>
      </c>
      <c r="T217" s="254">
        <f t="shared" si="35"/>
        <v>-57447.287572666173</v>
      </c>
    </row>
    <row r="218" spans="1:20" x14ac:dyDescent="0.25">
      <c r="A218" s="111">
        <f>Données!A218</f>
        <v>5755</v>
      </c>
      <c r="B218" s="123" t="str">
        <f>Données!B218</f>
        <v>Lignerolle</v>
      </c>
      <c r="C218" s="252">
        <f>Données!C218</f>
        <v>452</v>
      </c>
      <c r="D218" s="249">
        <f>RFS!W218</f>
        <v>709579.3373535939</v>
      </c>
      <c r="E218" s="265"/>
      <c r="F218" s="271">
        <f t="shared" si="27"/>
        <v>1569.8657906052963</v>
      </c>
      <c r="G218" s="265">
        <f t="shared" si="32"/>
        <v>-1892.8676407336061</v>
      </c>
      <c r="H218" s="272">
        <f t="shared" si="28"/>
        <v>-684460.93888927193</v>
      </c>
      <c r="I218" s="244"/>
      <c r="J218" s="236">
        <f t="shared" si="33"/>
        <v>3084.159903192181</v>
      </c>
      <c r="K218" s="265">
        <f t="shared" si="29"/>
        <v>-32.300185012831207</v>
      </c>
      <c r="L218" s="272">
        <f t="shared" si="34"/>
        <v>-14600</v>
      </c>
      <c r="M218" s="265"/>
      <c r="N218" s="274">
        <f>Données!S218</f>
        <v>61365.55</v>
      </c>
      <c r="O218" s="274">
        <f>Données!T218</f>
        <v>6314</v>
      </c>
      <c r="P218" s="274">
        <f>Données!U218</f>
        <v>78673.75</v>
      </c>
      <c r="Q218" s="249">
        <f>Données!V218</f>
        <v>22999.7</v>
      </c>
      <c r="R218" s="236">
        <f t="shared" si="30"/>
        <v>80076.56</v>
      </c>
      <c r="S218" s="253">
        <f t="shared" si="31"/>
        <v>-116017.31299375393</v>
      </c>
      <c r="T218" s="254">
        <f t="shared" si="35"/>
        <v>-35940.752993753937</v>
      </c>
    </row>
    <row r="219" spans="1:20" x14ac:dyDescent="0.25">
      <c r="A219" s="111">
        <f>Données!A219</f>
        <v>5756</v>
      </c>
      <c r="B219" s="123" t="str">
        <f>Données!B219</f>
        <v>Montcherand</v>
      </c>
      <c r="C219" s="252">
        <f>Données!C219</f>
        <v>494</v>
      </c>
      <c r="D219" s="249">
        <f>RFS!W219</f>
        <v>1405291.5564520471</v>
      </c>
      <c r="E219" s="265"/>
      <c r="F219" s="271">
        <f t="shared" si="27"/>
        <v>2844.7197499029294</v>
      </c>
      <c r="G219" s="265">
        <f t="shared" si="32"/>
        <v>-618.01368143597301</v>
      </c>
      <c r="H219" s="272">
        <f t="shared" si="28"/>
        <v>-244239.00690349654</v>
      </c>
      <c r="I219" s="244"/>
      <c r="J219" s="236">
        <f t="shared" si="33"/>
        <v>3339.1306950517078</v>
      </c>
      <c r="K219" s="265">
        <f t="shared" si="29"/>
        <v>0</v>
      </c>
      <c r="L219" s="272">
        <f t="shared" si="34"/>
        <v>0</v>
      </c>
      <c r="M219" s="265"/>
      <c r="N219" s="274">
        <f>Données!S219</f>
        <v>11753.35</v>
      </c>
      <c r="O219" s="274">
        <f>Données!T219</f>
        <v>0</v>
      </c>
      <c r="P219" s="274">
        <f>Données!U219</f>
        <v>20516.099999999999</v>
      </c>
      <c r="Q219" s="249">
        <f>Données!V219</f>
        <v>2847.55</v>
      </c>
      <c r="R219" s="236">
        <f t="shared" si="30"/>
        <v>16988.989999999998</v>
      </c>
      <c r="S219" s="253">
        <f t="shared" si="31"/>
        <v>-126797.68278520895</v>
      </c>
      <c r="T219" s="254">
        <f t="shared" si="35"/>
        <v>-109808.69278520896</v>
      </c>
    </row>
    <row r="220" spans="1:20" x14ac:dyDescent="0.25">
      <c r="A220" s="111">
        <f>Données!A220</f>
        <v>5757</v>
      </c>
      <c r="B220" s="123" t="str">
        <f>Données!B220</f>
        <v>Orbe</v>
      </c>
      <c r="C220" s="252">
        <f>Données!C220</f>
        <v>8008</v>
      </c>
      <c r="D220" s="249">
        <f>RFS!W220</f>
        <v>16506975.64133117</v>
      </c>
      <c r="E220" s="265"/>
      <c r="F220" s="271">
        <f t="shared" si="27"/>
        <v>2061.3106445218746</v>
      </c>
      <c r="G220" s="265">
        <f t="shared" si="32"/>
        <v>-1401.4227868170278</v>
      </c>
      <c r="H220" s="272">
        <f t="shared" si="28"/>
        <v>-8978074.9414646067</v>
      </c>
      <c r="I220" s="244"/>
      <c r="J220" s="236">
        <f t="shared" si="33"/>
        <v>3182.4488739754966</v>
      </c>
      <c r="K220" s="265">
        <f t="shared" si="29"/>
        <v>0</v>
      </c>
      <c r="L220" s="272">
        <f t="shared" si="34"/>
        <v>0</v>
      </c>
      <c r="M220" s="265"/>
      <c r="N220" s="274">
        <f>Données!S220</f>
        <v>683056.85</v>
      </c>
      <c r="O220" s="274">
        <f>Données!T220</f>
        <v>27288.3</v>
      </c>
      <c r="P220" s="274">
        <f>Données!U220</f>
        <v>191974.2</v>
      </c>
      <c r="Q220" s="249">
        <f>Données!V220</f>
        <v>3697129.85</v>
      </c>
      <c r="R220" s="236">
        <f t="shared" si="30"/>
        <v>1560298.6300000001</v>
      </c>
      <c r="S220" s="253">
        <f t="shared" si="31"/>
        <v>-2055457.1735707556</v>
      </c>
      <c r="T220" s="254">
        <f t="shared" si="35"/>
        <v>-495158.54357075552</v>
      </c>
    </row>
    <row r="221" spans="1:20" x14ac:dyDescent="0.25">
      <c r="A221" s="111">
        <f>Données!A221</f>
        <v>5758</v>
      </c>
      <c r="B221" s="123" t="str">
        <f>Données!B221</f>
        <v>La Praz</v>
      </c>
      <c r="C221" s="252">
        <f>Données!C221</f>
        <v>214</v>
      </c>
      <c r="D221" s="249">
        <f>RFS!W221</f>
        <v>374650.22038477054</v>
      </c>
      <c r="E221" s="265"/>
      <c r="F221" s="271">
        <f t="shared" si="27"/>
        <v>1750.7019644148156</v>
      </c>
      <c r="G221" s="265">
        <f t="shared" si="32"/>
        <v>-1712.0314669240868</v>
      </c>
      <c r="H221" s="272">
        <f t="shared" si="28"/>
        <v>-293099.78713740368</v>
      </c>
      <c r="I221" s="244"/>
      <c r="J221" s="236">
        <f t="shared" si="33"/>
        <v>3120.3271379540847</v>
      </c>
      <c r="K221" s="265">
        <f t="shared" si="29"/>
        <v>0</v>
      </c>
      <c r="L221" s="272">
        <f t="shared" si="34"/>
        <v>0</v>
      </c>
      <c r="M221" s="265"/>
      <c r="N221" s="274">
        <f>Données!S221</f>
        <v>11100.3</v>
      </c>
      <c r="O221" s="274">
        <f>Données!T221</f>
        <v>0</v>
      </c>
      <c r="P221" s="274">
        <f>Données!U221</f>
        <v>26110.3</v>
      </c>
      <c r="Q221" s="249">
        <f>Données!V221</f>
        <v>0</v>
      </c>
      <c r="R221" s="236">
        <f t="shared" si="30"/>
        <v>18605.3</v>
      </c>
      <c r="S221" s="253">
        <f t="shared" si="31"/>
        <v>-54928.550842175537</v>
      </c>
      <c r="T221" s="254">
        <f t="shared" si="35"/>
        <v>-36323.250842175534</v>
      </c>
    </row>
    <row r="222" spans="1:20" x14ac:dyDescent="0.25">
      <c r="A222" s="111">
        <f>Données!A222</f>
        <v>5759</v>
      </c>
      <c r="B222" s="123" t="str">
        <f>Données!B222</f>
        <v>Premier</v>
      </c>
      <c r="C222" s="252">
        <f>Données!C222</f>
        <v>233</v>
      </c>
      <c r="D222" s="249">
        <f>RFS!W222</f>
        <v>358645.12625938474</v>
      </c>
      <c r="E222" s="265"/>
      <c r="F222" s="271">
        <f t="shared" si="27"/>
        <v>1539.2494689243981</v>
      </c>
      <c r="G222" s="265">
        <f t="shared" si="32"/>
        <v>-1923.4839624145043</v>
      </c>
      <c r="H222" s="272">
        <f t="shared" si="28"/>
        <v>-358537.41059406364</v>
      </c>
      <c r="I222" s="244"/>
      <c r="J222" s="236">
        <f t="shared" si="33"/>
        <v>3078.0366388560014</v>
      </c>
      <c r="K222" s="265">
        <f t="shared" si="29"/>
        <v>-38.423449349010752</v>
      </c>
      <c r="L222" s="272">
        <f t="shared" si="34"/>
        <v>-8953</v>
      </c>
      <c r="M222" s="265"/>
      <c r="N222" s="274">
        <f>Données!S222</f>
        <v>13453</v>
      </c>
      <c r="O222" s="274">
        <f>Données!T222</f>
        <v>0</v>
      </c>
      <c r="P222" s="274">
        <f>Données!U222</f>
        <v>11585.95</v>
      </c>
      <c r="Q222" s="249">
        <f>Données!V222</f>
        <v>2522.35</v>
      </c>
      <c r="R222" s="236">
        <f t="shared" si="30"/>
        <v>13276.18</v>
      </c>
      <c r="S222" s="253">
        <f t="shared" si="31"/>
        <v>-59805.384795452803</v>
      </c>
      <c r="T222" s="254">
        <f t="shared" si="35"/>
        <v>-46529.204795452803</v>
      </c>
    </row>
    <row r="223" spans="1:20" x14ac:dyDescent="0.25">
      <c r="A223" s="111">
        <f>Données!A223</f>
        <v>5760</v>
      </c>
      <c r="B223" s="123" t="str">
        <f>Données!B223</f>
        <v>Rances</v>
      </c>
      <c r="C223" s="252">
        <f>Données!C223</f>
        <v>513</v>
      </c>
      <c r="D223" s="249">
        <f>RFS!W223</f>
        <v>771512.10016779066</v>
      </c>
      <c r="E223" s="265"/>
      <c r="F223" s="271">
        <f t="shared" si="27"/>
        <v>1503.9222225492995</v>
      </c>
      <c r="G223" s="265">
        <f t="shared" si="32"/>
        <v>-1958.8112087896029</v>
      </c>
      <c r="H223" s="272">
        <f t="shared" si="28"/>
        <v>-803896.12008725305</v>
      </c>
      <c r="I223" s="244"/>
      <c r="J223" s="236">
        <f t="shared" si="33"/>
        <v>3070.9711895809819</v>
      </c>
      <c r="K223" s="265">
        <f t="shared" si="29"/>
        <v>-45.488898624030298</v>
      </c>
      <c r="L223" s="272">
        <f t="shared" si="34"/>
        <v>-23336</v>
      </c>
      <c r="M223" s="265"/>
      <c r="N223" s="274">
        <f>Données!S223</f>
        <v>10246.6</v>
      </c>
      <c r="O223" s="274">
        <f>Données!T223</f>
        <v>3412.8</v>
      </c>
      <c r="P223" s="274">
        <f>Données!U223</f>
        <v>6389.35</v>
      </c>
      <c r="Q223" s="249">
        <f>Données!V223</f>
        <v>30982.5</v>
      </c>
      <c r="R223" s="236">
        <f t="shared" si="30"/>
        <v>19319.125</v>
      </c>
      <c r="S223" s="253">
        <f t="shared" si="31"/>
        <v>-131674.51673848621</v>
      </c>
      <c r="T223" s="254">
        <f t="shared" si="35"/>
        <v>-112355.39173848621</v>
      </c>
    </row>
    <row r="224" spans="1:20" x14ac:dyDescent="0.25">
      <c r="A224" s="111">
        <f>Données!A224</f>
        <v>5761</v>
      </c>
      <c r="B224" s="123" t="str">
        <f>Données!B224</f>
        <v>Romainmôtier-Envy</v>
      </c>
      <c r="C224" s="252">
        <f>Données!C224</f>
        <v>579</v>
      </c>
      <c r="D224" s="249">
        <f>RFS!W224</f>
        <v>946986.88862656907</v>
      </c>
      <c r="E224" s="265"/>
      <c r="F224" s="271">
        <f t="shared" si="27"/>
        <v>1635.5559389059915</v>
      </c>
      <c r="G224" s="265">
        <f t="shared" si="32"/>
        <v>-1827.1774924329109</v>
      </c>
      <c r="H224" s="272">
        <f t="shared" si="28"/>
        <v>-846348.61449492443</v>
      </c>
      <c r="I224" s="244"/>
      <c r="J224" s="236">
        <f t="shared" si="33"/>
        <v>3097.2979328523202</v>
      </c>
      <c r="K224" s="265">
        <f t="shared" si="29"/>
        <v>-19.162155352692025</v>
      </c>
      <c r="L224" s="272">
        <f t="shared" si="34"/>
        <v>-11095</v>
      </c>
      <c r="M224" s="265"/>
      <c r="N224" s="274">
        <f>Données!S224</f>
        <v>42933.65</v>
      </c>
      <c r="O224" s="274">
        <f>Données!T224</f>
        <v>50250</v>
      </c>
      <c r="P224" s="274">
        <f>Données!U224</f>
        <v>28948.400000000001</v>
      </c>
      <c r="Q224" s="249">
        <f>Données!V224</f>
        <v>87592.5</v>
      </c>
      <c r="R224" s="236">
        <f t="shared" si="30"/>
        <v>87343.774999999994</v>
      </c>
      <c r="S224" s="253">
        <f t="shared" si="31"/>
        <v>-148615.09783934409</v>
      </c>
      <c r="T224" s="254">
        <f t="shared" si="35"/>
        <v>-61271.322839344095</v>
      </c>
    </row>
    <row r="225" spans="1:20" x14ac:dyDescent="0.25">
      <c r="A225" s="111">
        <f>Données!A225</f>
        <v>5762</v>
      </c>
      <c r="B225" s="123" t="str">
        <f>Données!B225</f>
        <v>Sergey</v>
      </c>
      <c r="C225" s="252">
        <f>Données!C225</f>
        <v>165</v>
      </c>
      <c r="D225" s="249">
        <f>RFS!W225</f>
        <v>341751.34408180969</v>
      </c>
      <c r="E225" s="265"/>
      <c r="F225" s="271">
        <f t="shared" si="27"/>
        <v>2071.2202671624827</v>
      </c>
      <c r="G225" s="265">
        <f t="shared" si="32"/>
        <v>-1391.5131641764197</v>
      </c>
      <c r="H225" s="272">
        <f t="shared" si="28"/>
        <v>-183679.73767128738</v>
      </c>
      <c r="I225" s="244"/>
      <c r="J225" s="236">
        <f t="shared" si="33"/>
        <v>3184.4307985036185</v>
      </c>
      <c r="K225" s="265">
        <f t="shared" si="29"/>
        <v>0</v>
      </c>
      <c r="L225" s="272">
        <f t="shared" si="34"/>
        <v>0</v>
      </c>
      <c r="M225" s="265"/>
      <c r="N225" s="274">
        <f>Données!S225</f>
        <v>4988.2</v>
      </c>
      <c r="O225" s="274">
        <f>Données!T225</f>
        <v>0</v>
      </c>
      <c r="P225" s="274">
        <f>Données!U225</f>
        <v>13703.1</v>
      </c>
      <c r="Q225" s="249">
        <f>Données!V225</f>
        <v>0</v>
      </c>
      <c r="R225" s="236">
        <f t="shared" si="30"/>
        <v>9345.65</v>
      </c>
      <c r="S225" s="253">
        <f t="shared" si="31"/>
        <v>-42351.452752144694</v>
      </c>
      <c r="T225" s="254">
        <f t="shared" si="35"/>
        <v>-33005.802752144693</v>
      </c>
    </row>
    <row r="226" spans="1:20" x14ac:dyDescent="0.25">
      <c r="A226" s="111">
        <f>Données!A226</f>
        <v>5763</v>
      </c>
      <c r="B226" s="123" t="str">
        <f>Données!B226</f>
        <v>Valeyres-sous-Rances</v>
      </c>
      <c r="C226" s="252">
        <f>Données!C226</f>
        <v>573</v>
      </c>
      <c r="D226" s="249">
        <f>RFS!W226</f>
        <v>1078237.1944927995</v>
      </c>
      <c r="E226" s="265"/>
      <c r="F226" s="271">
        <f t="shared" si="27"/>
        <v>1881.7403045249555</v>
      </c>
      <c r="G226" s="265">
        <f t="shared" si="32"/>
        <v>-1580.9931268139469</v>
      </c>
      <c r="H226" s="272">
        <f t="shared" si="28"/>
        <v>-724727.2493315133</v>
      </c>
      <c r="I226" s="244"/>
      <c r="J226" s="236">
        <f t="shared" si="33"/>
        <v>3146.5348059761127</v>
      </c>
      <c r="K226" s="265">
        <f t="shared" si="29"/>
        <v>0</v>
      </c>
      <c r="L226" s="272">
        <f t="shared" si="34"/>
        <v>0</v>
      </c>
      <c r="M226" s="265"/>
      <c r="N226" s="274">
        <f>Données!S226</f>
        <v>49280.7</v>
      </c>
      <c r="O226" s="274">
        <f>Données!T226</f>
        <v>39250</v>
      </c>
      <c r="P226" s="274">
        <f>Données!U226</f>
        <v>11296.25</v>
      </c>
      <c r="Q226" s="249">
        <f>Données!V226</f>
        <v>71687.55</v>
      </c>
      <c r="R226" s="236">
        <f t="shared" si="30"/>
        <v>71419.739999999991</v>
      </c>
      <c r="S226" s="253">
        <f t="shared" si="31"/>
        <v>-147075.04501199338</v>
      </c>
      <c r="T226" s="254">
        <f t="shared" si="35"/>
        <v>-75655.305011993391</v>
      </c>
    </row>
    <row r="227" spans="1:20" x14ac:dyDescent="0.25">
      <c r="A227" s="111">
        <f>Données!A227</f>
        <v>5764</v>
      </c>
      <c r="B227" s="123" t="str">
        <f>Données!B227</f>
        <v>Vallorbe</v>
      </c>
      <c r="C227" s="252">
        <f>Données!C227</f>
        <v>4434</v>
      </c>
      <c r="D227" s="249">
        <f>RFS!W227</f>
        <v>6651665.970009869</v>
      </c>
      <c r="E227" s="265"/>
      <c r="F227" s="271">
        <f t="shared" si="27"/>
        <v>1500.1501962133218</v>
      </c>
      <c r="G227" s="265">
        <f t="shared" si="32"/>
        <v>-1962.5832351255806</v>
      </c>
      <c r="H227" s="272">
        <f t="shared" si="28"/>
        <v>-6961675.2516374597</v>
      </c>
      <c r="I227" s="244"/>
      <c r="J227" s="236">
        <f t="shared" si="33"/>
        <v>3070.2167843137868</v>
      </c>
      <c r="K227" s="265">
        <f t="shared" si="29"/>
        <v>-46.243303891225423</v>
      </c>
      <c r="L227" s="272">
        <f t="shared" si="34"/>
        <v>-205043</v>
      </c>
      <c r="M227" s="265"/>
      <c r="N227" s="274">
        <f>Données!S227</f>
        <v>450790</v>
      </c>
      <c r="O227" s="274">
        <f>Données!T227</f>
        <v>1481035.7</v>
      </c>
      <c r="P227" s="274">
        <f>Données!U227</f>
        <v>287066.25</v>
      </c>
      <c r="Q227" s="249">
        <f>Données!V227</f>
        <v>2632478</v>
      </c>
      <c r="R227" s="236">
        <f t="shared" si="30"/>
        <v>1899189.375</v>
      </c>
      <c r="S227" s="253">
        <f t="shared" si="31"/>
        <v>-1138099.039412179</v>
      </c>
      <c r="T227" s="254">
        <f t="shared" si="35"/>
        <v>761090.33558782097</v>
      </c>
    </row>
    <row r="228" spans="1:20" x14ac:dyDescent="0.25">
      <c r="A228" s="111">
        <f>Données!A228</f>
        <v>5765</v>
      </c>
      <c r="B228" s="123" t="str">
        <f>Données!B228</f>
        <v>Vaulion</v>
      </c>
      <c r="C228" s="252">
        <f>Données!C228</f>
        <v>500</v>
      </c>
      <c r="D228" s="249">
        <f>RFS!W228</f>
        <v>675977.80907108937</v>
      </c>
      <c r="E228" s="265"/>
      <c r="F228" s="271">
        <f t="shared" si="27"/>
        <v>1351.9556181421788</v>
      </c>
      <c r="G228" s="265">
        <f t="shared" si="32"/>
        <v>-2110.7778131967234</v>
      </c>
      <c r="H228" s="272">
        <f t="shared" si="28"/>
        <v>-844311.12527868932</v>
      </c>
      <c r="I228" s="244"/>
      <c r="J228" s="236">
        <f t="shared" si="33"/>
        <v>3040.5778686995573</v>
      </c>
      <c r="K228" s="265">
        <f t="shared" si="29"/>
        <v>-75.882219505454941</v>
      </c>
      <c r="L228" s="272">
        <f t="shared" si="34"/>
        <v>-37941</v>
      </c>
      <c r="M228" s="265"/>
      <c r="N228" s="274">
        <f>Données!S228</f>
        <v>36915.300000000003</v>
      </c>
      <c r="O228" s="274">
        <f>Données!T228</f>
        <v>25068.2</v>
      </c>
      <c r="P228" s="274">
        <f>Données!U228</f>
        <v>24972.75</v>
      </c>
      <c r="Q228" s="249">
        <f>Données!V228</f>
        <v>82005.45</v>
      </c>
      <c r="R228" s="236">
        <f t="shared" si="30"/>
        <v>68079.759999999995</v>
      </c>
      <c r="S228" s="253">
        <f t="shared" si="31"/>
        <v>-128337.73561255967</v>
      </c>
      <c r="T228" s="254">
        <f t="shared" si="35"/>
        <v>-60257.975612559676</v>
      </c>
    </row>
    <row r="229" spans="1:20" x14ac:dyDescent="0.25">
      <c r="A229" s="111">
        <f>Données!A229</f>
        <v>5766</v>
      </c>
      <c r="B229" s="123" t="str">
        <f>Données!B229</f>
        <v>Vuiteboeuf</v>
      </c>
      <c r="C229" s="252">
        <f>Données!C229</f>
        <v>616</v>
      </c>
      <c r="D229" s="249">
        <f>RFS!W229</f>
        <v>1023010.6685916947</v>
      </c>
      <c r="E229" s="265"/>
      <c r="F229" s="271">
        <f t="shared" si="27"/>
        <v>1660.7316048566472</v>
      </c>
      <c r="G229" s="265">
        <f t="shared" si="32"/>
        <v>-1802.0018264822552</v>
      </c>
      <c r="H229" s="272">
        <f t="shared" si="28"/>
        <v>-888026.5000904554</v>
      </c>
      <c r="I229" s="244"/>
      <c r="J229" s="236">
        <f t="shared" si="33"/>
        <v>3102.3330660424513</v>
      </c>
      <c r="K229" s="265">
        <f t="shared" si="29"/>
        <v>-14.127022162560934</v>
      </c>
      <c r="L229" s="272">
        <f t="shared" si="34"/>
        <v>-8702</v>
      </c>
      <c r="M229" s="265"/>
      <c r="N229" s="274">
        <f>Données!S229</f>
        <v>12008.75</v>
      </c>
      <c r="O229" s="274">
        <f>Données!T229</f>
        <v>1504.8</v>
      </c>
      <c r="P229" s="274">
        <f>Données!U229</f>
        <v>32914</v>
      </c>
      <c r="Q229" s="249">
        <f>Données!V229</f>
        <v>42421</v>
      </c>
      <c r="R229" s="236">
        <f t="shared" si="30"/>
        <v>35940.074999999997</v>
      </c>
      <c r="S229" s="253">
        <f t="shared" si="31"/>
        <v>-158112.09027467351</v>
      </c>
      <c r="T229" s="254">
        <f t="shared" si="35"/>
        <v>-122172.01527467351</v>
      </c>
    </row>
    <row r="230" spans="1:20" x14ac:dyDescent="0.25">
      <c r="A230" s="111">
        <f>Données!A230</f>
        <v>5785</v>
      </c>
      <c r="B230" s="123" t="str">
        <f>Données!B230</f>
        <v>Corcelles-le-Jorat</v>
      </c>
      <c r="C230" s="252">
        <f>Données!C230</f>
        <v>495</v>
      </c>
      <c r="D230" s="249">
        <f>RFS!W230</f>
        <v>1225859.3809974543</v>
      </c>
      <c r="E230" s="265"/>
      <c r="F230" s="271">
        <f t="shared" si="27"/>
        <v>2476.4835979746549</v>
      </c>
      <c r="G230" s="265">
        <f t="shared" si="32"/>
        <v>-986.24983336424748</v>
      </c>
      <c r="H230" s="272">
        <f t="shared" si="28"/>
        <v>-390554.93401224201</v>
      </c>
      <c r="I230" s="244"/>
      <c r="J230" s="236">
        <f t="shared" si="33"/>
        <v>3265.4834646660534</v>
      </c>
      <c r="K230" s="265">
        <f t="shared" si="29"/>
        <v>0</v>
      </c>
      <c r="L230" s="272">
        <f t="shared" si="34"/>
        <v>0</v>
      </c>
      <c r="M230" s="265"/>
      <c r="N230" s="274">
        <f>Données!S230</f>
        <v>63999.15</v>
      </c>
      <c r="O230" s="274">
        <f>Données!T230</f>
        <v>64950</v>
      </c>
      <c r="P230" s="274">
        <f>Données!U230</f>
        <v>14085.95</v>
      </c>
      <c r="Q230" s="249">
        <f>Données!V230</f>
        <v>0</v>
      </c>
      <c r="R230" s="236">
        <f t="shared" si="30"/>
        <v>71517.55</v>
      </c>
      <c r="S230" s="253">
        <f t="shared" si="31"/>
        <v>-127054.35825643408</v>
      </c>
      <c r="T230" s="254">
        <f t="shared" si="35"/>
        <v>-55536.808256434073</v>
      </c>
    </row>
    <row r="231" spans="1:20" x14ac:dyDescent="0.25">
      <c r="A231" s="111">
        <f>Données!A231</f>
        <v>5790</v>
      </c>
      <c r="B231" s="123" t="str">
        <f>Données!B231</f>
        <v>Maracon</v>
      </c>
      <c r="C231" s="252">
        <f>Données!C231</f>
        <v>565</v>
      </c>
      <c r="D231" s="249">
        <f>RFS!W231</f>
        <v>1209056.174429927</v>
      </c>
      <c r="E231" s="265"/>
      <c r="F231" s="271">
        <f t="shared" si="27"/>
        <v>2139.9224326193398</v>
      </c>
      <c r="G231" s="265">
        <f t="shared" si="32"/>
        <v>-1322.8109987195626</v>
      </c>
      <c r="H231" s="272">
        <f t="shared" si="28"/>
        <v>-597910.57142124232</v>
      </c>
      <c r="I231" s="244"/>
      <c r="J231" s="236">
        <f t="shared" si="33"/>
        <v>3198.1712315949899</v>
      </c>
      <c r="K231" s="265">
        <f t="shared" si="29"/>
        <v>0</v>
      </c>
      <c r="L231" s="272">
        <f t="shared" si="34"/>
        <v>0</v>
      </c>
      <c r="M231" s="265"/>
      <c r="N231" s="274">
        <f>Données!S231</f>
        <v>14355</v>
      </c>
      <c r="O231" s="274">
        <f>Données!T231</f>
        <v>4431.8999999999996</v>
      </c>
      <c r="P231" s="274">
        <f>Données!U231</f>
        <v>11297.05</v>
      </c>
      <c r="Q231" s="249">
        <f>Données!V231</f>
        <v>66.099999999999994</v>
      </c>
      <c r="R231" s="236">
        <f t="shared" si="30"/>
        <v>15061.805</v>
      </c>
      <c r="S231" s="253">
        <f t="shared" si="31"/>
        <v>-145021.64124219242</v>
      </c>
      <c r="T231" s="254">
        <f t="shared" si="35"/>
        <v>-129959.83624219242</v>
      </c>
    </row>
    <row r="232" spans="1:20" x14ac:dyDescent="0.25">
      <c r="A232" s="111">
        <f>Données!A232</f>
        <v>5792</v>
      </c>
      <c r="B232" s="123" t="str">
        <f>Données!B232</f>
        <v>Montpreveyres</v>
      </c>
      <c r="C232" s="252">
        <f>Données!C232</f>
        <v>670</v>
      </c>
      <c r="D232" s="249">
        <f>RFS!W232</f>
        <v>1532631.8424057267</v>
      </c>
      <c r="E232" s="265"/>
      <c r="F232" s="271">
        <f t="shared" si="27"/>
        <v>2287.5102125458607</v>
      </c>
      <c r="G232" s="265">
        <f t="shared" si="32"/>
        <v>-1175.2232187930417</v>
      </c>
      <c r="H232" s="272">
        <f t="shared" si="28"/>
        <v>-629919.64527307032</v>
      </c>
      <c r="I232" s="244"/>
      <c r="J232" s="236">
        <f t="shared" si="33"/>
        <v>3227.688787580294</v>
      </c>
      <c r="K232" s="265">
        <f t="shared" si="29"/>
        <v>0</v>
      </c>
      <c r="L232" s="272">
        <f t="shared" si="34"/>
        <v>0</v>
      </c>
      <c r="M232" s="265"/>
      <c r="N232" s="274">
        <f>Données!S232</f>
        <v>152155.29999999999</v>
      </c>
      <c r="O232" s="274">
        <f>Données!T232</f>
        <v>290244.2</v>
      </c>
      <c r="P232" s="274">
        <f>Données!U232</f>
        <v>95722.75</v>
      </c>
      <c r="Q232" s="249">
        <f>Données!V232</f>
        <v>5476.05</v>
      </c>
      <c r="R232" s="236">
        <f t="shared" si="30"/>
        <v>270703.94</v>
      </c>
      <c r="S232" s="253">
        <f t="shared" si="31"/>
        <v>-171972.56572082997</v>
      </c>
      <c r="T232" s="254">
        <f t="shared" si="35"/>
        <v>98731.374279170035</v>
      </c>
    </row>
    <row r="233" spans="1:20" x14ac:dyDescent="0.25">
      <c r="A233" s="111">
        <f>Données!A233</f>
        <v>5798</v>
      </c>
      <c r="B233" s="123" t="str">
        <f>Données!B233</f>
        <v>Ropraz</v>
      </c>
      <c r="C233" s="252">
        <f>Données!C233</f>
        <v>535</v>
      </c>
      <c r="D233" s="249">
        <f>RFS!W233</f>
        <v>1119775.9036844268</v>
      </c>
      <c r="E233" s="265"/>
      <c r="F233" s="271">
        <f t="shared" si="27"/>
        <v>2093.0390723073397</v>
      </c>
      <c r="G233" s="265">
        <f t="shared" si="32"/>
        <v>-1369.6943590315627</v>
      </c>
      <c r="H233" s="272">
        <f t="shared" si="28"/>
        <v>-586229.18566550885</v>
      </c>
      <c r="I233" s="244"/>
      <c r="J233" s="236">
        <f t="shared" si="33"/>
        <v>3188.79455953259</v>
      </c>
      <c r="K233" s="265">
        <f t="shared" si="29"/>
        <v>0</v>
      </c>
      <c r="L233" s="272">
        <f t="shared" si="34"/>
        <v>0</v>
      </c>
      <c r="M233" s="265"/>
      <c r="N233" s="274">
        <f>Données!S233</f>
        <v>42227.9</v>
      </c>
      <c r="O233" s="274">
        <f>Données!T233</f>
        <v>104.5</v>
      </c>
      <c r="P233" s="274">
        <f>Données!U233</f>
        <v>71538.899999999994</v>
      </c>
      <c r="Q233" s="249">
        <f>Données!V233</f>
        <v>40958.199999999997</v>
      </c>
      <c r="R233" s="236">
        <f t="shared" si="30"/>
        <v>69223.109999999986</v>
      </c>
      <c r="S233" s="253">
        <f t="shared" si="31"/>
        <v>-137321.37710543885</v>
      </c>
      <c r="T233" s="254">
        <f t="shared" si="35"/>
        <v>-68098.267105438863</v>
      </c>
    </row>
    <row r="234" spans="1:20" x14ac:dyDescent="0.25">
      <c r="A234" s="111">
        <f>Données!A234</f>
        <v>5799</v>
      </c>
      <c r="B234" s="123" t="str">
        <f>Données!B234</f>
        <v>Servion</v>
      </c>
      <c r="C234" s="252">
        <f>Données!C234</f>
        <v>2241</v>
      </c>
      <c r="D234" s="249">
        <f>RFS!W234</f>
        <v>5457325.0792134125</v>
      </c>
      <c r="E234" s="265"/>
      <c r="F234" s="271">
        <f t="shared" si="27"/>
        <v>2435.2186877346776</v>
      </c>
      <c r="G234" s="265">
        <f t="shared" si="32"/>
        <v>-1027.5147436042248</v>
      </c>
      <c r="H234" s="272">
        <f t="shared" si="28"/>
        <v>-1842128.4323336545</v>
      </c>
      <c r="I234" s="244"/>
      <c r="J234" s="236">
        <f t="shared" si="33"/>
        <v>3257.2304826180575</v>
      </c>
      <c r="K234" s="265">
        <f t="shared" si="29"/>
        <v>0</v>
      </c>
      <c r="L234" s="272">
        <f t="shared" si="34"/>
        <v>0</v>
      </c>
      <c r="M234" s="265"/>
      <c r="N234" s="274">
        <f>Données!S234</f>
        <v>152330.9</v>
      </c>
      <c r="O234" s="274">
        <f>Données!T234</f>
        <v>2283.3000000000002</v>
      </c>
      <c r="P234" s="274">
        <f>Données!U234</f>
        <v>174448.05</v>
      </c>
      <c r="Q234" s="249">
        <f>Données!V234</f>
        <v>40137.949999999997</v>
      </c>
      <c r="R234" s="236">
        <f t="shared" si="30"/>
        <v>176572.51</v>
      </c>
      <c r="S234" s="253">
        <f t="shared" si="31"/>
        <v>-575209.73101549246</v>
      </c>
      <c r="T234" s="254">
        <f t="shared" si="35"/>
        <v>-398637.22101549245</v>
      </c>
    </row>
    <row r="235" spans="1:20" x14ac:dyDescent="0.25">
      <c r="A235" s="111">
        <f>Données!A235</f>
        <v>5803</v>
      </c>
      <c r="B235" s="123" t="str">
        <f>Données!B235</f>
        <v>Vulliens</v>
      </c>
      <c r="C235" s="252">
        <f>Données!C235</f>
        <v>630</v>
      </c>
      <c r="D235" s="249">
        <f>RFS!W235</f>
        <v>1358855.2209027994</v>
      </c>
      <c r="E235" s="265"/>
      <c r="F235" s="271">
        <f t="shared" si="27"/>
        <v>2156.9130490520624</v>
      </c>
      <c r="G235" s="265">
        <f t="shared" si="32"/>
        <v>-1305.82038228684</v>
      </c>
      <c r="H235" s="272">
        <f t="shared" si="28"/>
        <v>-658133.47267256747</v>
      </c>
      <c r="I235" s="244"/>
      <c r="J235" s="236">
        <f t="shared" si="33"/>
        <v>3201.5693548815348</v>
      </c>
      <c r="K235" s="265">
        <f t="shared" si="29"/>
        <v>0</v>
      </c>
      <c r="L235" s="272">
        <f t="shared" si="34"/>
        <v>0</v>
      </c>
      <c r="M235" s="265"/>
      <c r="N235" s="274">
        <f>Données!S235</f>
        <v>61771.05</v>
      </c>
      <c r="O235" s="274">
        <f>Données!T235</f>
        <v>765.2</v>
      </c>
      <c r="P235" s="274">
        <f>Données!U235</f>
        <v>40724.199999999997</v>
      </c>
      <c r="Q235" s="249">
        <f>Données!V235</f>
        <v>1566.55</v>
      </c>
      <c r="R235" s="236">
        <f t="shared" si="30"/>
        <v>52100.189999999995</v>
      </c>
      <c r="S235" s="253">
        <f t="shared" si="31"/>
        <v>-161705.54687182518</v>
      </c>
      <c r="T235" s="254">
        <f t="shared" si="35"/>
        <v>-109605.35687182518</v>
      </c>
    </row>
    <row r="236" spans="1:20" x14ac:dyDescent="0.25">
      <c r="A236" s="111">
        <f>Données!A236</f>
        <v>5804</v>
      </c>
      <c r="B236" s="123" t="str">
        <f>Données!B236</f>
        <v>Jorat-Menthue</v>
      </c>
      <c r="C236" s="252">
        <f>Données!C236</f>
        <v>1564</v>
      </c>
      <c r="D236" s="249">
        <f>RFS!W236</f>
        <v>3310991.6799477232</v>
      </c>
      <c r="E236" s="265"/>
      <c r="F236" s="271">
        <f t="shared" si="27"/>
        <v>2117.0023529077512</v>
      </c>
      <c r="G236" s="265">
        <f t="shared" si="32"/>
        <v>-1345.7310784311512</v>
      </c>
      <c r="H236" s="272">
        <f t="shared" si="28"/>
        <v>-1683778.7253330566</v>
      </c>
      <c r="I236" s="244"/>
      <c r="J236" s="236">
        <f t="shared" si="33"/>
        <v>3193.5872156526725</v>
      </c>
      <c r="K236" s="265">
        <f t="shared" si="29"/>
        <v>0</v>
      </c>
      <c r="L236" s="272">
        <f t="shared" si="34"/>
        <v>0</v>
      </c>
      <c r="M236" s="265"/>
      <c r="N236" s="274">
        <f>Données!S236</f>
        <v>149350.5</v>
      </c>
      <c r="O236" s="274">
        <f>Données!T236</f>
        <v>5247</v>
      </c>
      <c r="P236" s="274">
        <f>Données!U236</f>
        <v>122652.05</v>
      </c>
      <c r="Q236" s="249">
        <f>Données!V236</f>
        <v>21030.3</v>
      </c>
      <c r="R236" s="236">
        <f t="shared" si="30"/>
        <v>144933.86499999999</v>
      </c>
      <c r="S236" s="253">
        <f t="shared" si="31"/>
        <v>-401440.43699608662</v>
      </c>
      <c r="T236" s="254">
        <f t="shared" si="35"/>
        <v>-256506.57199608663</v>
      </c>
    </row>
    <row r="237" spans="1:20" x14ac:dyDescent="0.25">
      <c r="A237" s="111">
        <f>Données!A237</f>
        <v>5805</v>
      </c>
      <c r="B237" s="123" t="str">
        <f>Données!B237</f>
        <v>Oron</v>
      </c>
      <c r="C237" s="252">
        <f>Données!C237</f>
        <v>6451</v>
      </c>
      <c r="D237" s="249">
        <f>RFS!W237</f>
        <v>12223859.623308601</v>
      </c>
      <c r="E237" s="265"/>
      <c r="F237" s="271">
        <f t="shared" si="27"/>
        <v>1894.8782550470626</v>
      </c>
      <c r="G237" s="265">
        <f t="shared" si="32"/>
        <v>-1567.8551762918398</v>
      </c>
      <c r="H237" s="272">
        <f t="shared" si="28"/>
        <v>-8091386.9938069275</v>
      </c>
      <c r="I237" s="244"/>
      <c r="J237" s="236">
        <f t="shared" si="33"/>
        <v>3149.1623960805346</v>
      </c>
      <c r="K237" s="265">
        <f t="shared" si="29"/>
        <v>0</v>
      </c>
      <c r="L237" s="272">
        <f t="shared" si="34"/>
        <v>0</v>
      </c>
      <c r="M237" s="265"/>
      <c r="N237" s="274">
        <f>Données!S237</f>
        <v>893517</v>
      </c>
      <c r="O237" s="274">
        <f>Données!T237</f>
        <v>131932.4</v>
      </c>
      <c r="P237" s="274">
        <f>Données!U237</f>
        <v>677068.7</v>
      </c>
      <c r="Q237" s="249">
        <f>Données!V237</f>
        <v>115875.55</v>
      </c>
      <c r="R237" s="236">
        <f t="shared" si="30"/>
        <v>886021.71500000008</v>
      </c>
      <c r="S237" s="253">
        <f t="shared" si="31"/>
        <v>-1655813.4648732448</v>
      </c>
      <c r="T237" s="254">
        <f t="shared" si="35"/>
        <v>-769791.74987324467</v>
      </c>
    </row>
    <row r="238" spans="1:20" x14ac:dyDescent="0.25">
      <c r="A238" s="111">
        <f>Données!A238</f>
        <v>5806</v>
      </c>
      <c r="B238" s="123" t="str">
        <f>Données!B238</f>
        <v>Jorat-Mézières</v>
      </c>
      <c r="C238" s="252">
        <f>Données!C238</f>
        <v>3209</v>
      </c>
      <c r="D238" s="249">
        <f>RFS!W238</f>
        <v>7002993.0154565284</v>
      </c>
      <c r="E238" s="265"/>
      <c r="F238" s="271">
        <f t="shared" si="27"/>
        <v>2182.2976053152161</v>
      </c>
      <c r="G238" s="265">
        <f t="shared" si="32"/>
        <v>-1280.4358260236863</v>
      </c>
      <c r="H238" s="272">
        <f t="shared" si="28"/>
        <v>-3287134.852568008</v>
      </c>
      <c r="I238" s="244"/>
      <c r="J238" s="236">
        <f t="shared" si="33"/>
        <v>3206.6462661341652</v>
      </c>
      <c r="K238" s="265">
        <f t="shared" si="29"/>
        <v>0</v>
      </c>
      <c r="L238" s="272">
        <f t="shared" si="34"/>
        <v>0</v>
      </c>
      <c r="M238" s="265"/>
      <c r="N238" s="274">
        <f>Données!S238</f>
        <v>217520.35</v>
      </c>
      <c r="O238" s="274">
        <f>Données!T238</f>
        <v>132141.79999999999</v>
      </c>
      <c r="P238" s="274">
        <f>Données!U238</f>
        <v>245903.55</v>
      </c>
      <c r="Q238" s="249">
        <f>Données!V238</f>
        <v>43116.35</v>
      </c>
      <c r="R238" s="236">
        <f t="shared" si="30"/>
        <v>310717.755</v>
      </c>
      <c r="S238" s="253">
        <f t="shared" si="31"/>
        <v>-823671.58716140792</v>
      </c>
      <c r="T238" s="254">
        <f t="shared" si="35"/>
        <v>-512953.83216140792</v>
      </c>
    </row>
    <row r="239" spans="1:20" x14ac:dyDescent="0.25">
      <c r="A239" s="111">
        <f>Données!A239</f>
        <v>5812</v>
      </c>
      <c r="B239" s="123" t="str">
        <f>Données!B239</f>
        <v>Champtauroz</v>
      </c>
      <c r="C239" s="252">
        <f>Données!C239</f>
        <v>184</v>
      </c>
      <c r="D239" s="249">
        <f>RFS!W239</f>
        <v>278219.81415633089</v>
      </c>
      <c r="E239" s="265"/>
      <c r="F239" s="271">
        <f t="shared" si="27"/>
        <v>1512.0642073713636</v>
      </c>
      <c r="G239" s="265">
        <f t="shared" si="32"/>
        <v>-1950.6692239675388</v>
      </c>
      <c r="H239" s="272">
        <f t="shared" si="28"/>
        <v>-287138.5097680217</v>
      </c>
      <c r="I239" s="244"/>
      <c r="J239" s="236">
        <f t="shared" si="33"/>
        <v>3072.5995865453947</v>
      </c>
      <c r="K239" s="265">
        <f t="shared" si="29"/>
        <v>-43.860501659617512</v>
      </c>
      <c r="L239" s="272">
        <f t="shared" si="34"/>
        <v>-8070</v>
      </c>
      <c r="M239" s="265"/>
      <c r="N239" s="274">
        <f>Données!S239</f>
        <v>16060</v>
      </c>
      <c r="O239" s="274">
        <f>Données!T239</f>
        <v>0</v>
      </c>
      <c r="P239" s="274">
        <f>Données!U239</f>
        <v>16803.45</v>
      </c>
      <c r="Q239" s="249">
        <f>Données!V239</f>
        <v>0</v>
      </c>
      <c r="R239" s="236">
        <f t="shared" si="30"/>
        <v>16431.724999999999</v>
      </c>
      <c r="S239" s="253">
        <f t="shared" si="31"/>
        <v>-47228.286705421961</v>
      </c>
      <c r="T239" s="254">
        <f t="shared" si="35"/>
        <v>-30796.561705421962</v>
      </c>
    </row>
    <row r="240" spans="1:20" x14ac:dyDescent="0.25">
      <c r="A240" s="111">
        <f>Données!A240</f>
        <v>5813</v>
      </c>
      <c r="B240" s="123" t="str">
        <f>Données!B240</f>
        <v>Chevroux</v>
      </c>
      <c r="C240" s="252">
        <f>Données!C240</f>
        <v>487</v>
      </c>
      <c r="D240" s="249">
        <f>RFS!W240</f>
        <v>1427935.7318369767</v>
      </c>
      <c r="E240" s="265"/>
      <c r="F240" s="271">
        <f t="shared" si="27"/>
        <v>2932.1062255379397</v>
      </c>
      <c r="G240" s="265">
        <f t="shared" si="32"/>
        <v>-530.62720580096266</v>
      </c>
      <c r="H240" s="272">
        <f t="shared" si="28"/>
        <v>-206732.35938005507</v>
      </c>
      <c r="I240" s="244"/>
      <c r="J240" s="236">
        <f t="shared" si="33"/>
        <v>3356.6079901787098</v>
      </c>
      <c r="K240" s="265">
        <f t="shared" si="29"/>
        <v>0</v>
      </c>
      <c r="L240" s="272">
        <f t="shared" si="34"/>
        <v>0</v>
      </c>
      <c r="M240" s="265"/>
      <c r="N240" s="274">
        <f>Données!S240</f>
        <v>102995.75</v>
      </c>
      <c r="O240" s="274">
        <f>Données!T240</f>
        <v>76492.800000000003</v>
      </c>
      <c r="P240" s="274">
        <f>Données!U240</f>
        <v>55233.85</v>
      </c>
      <c r="Q240" s="249">
        <f>Données!V240</f>
        <v>2556.9499999999998</v>
      </c>
      <c r="R240" s="236">
        <f t="shared" si="30"/>
        <v>118128.285</v>
      </c>
      <c r="S240" s="253">
        <f t="shared" si="31"/>
        <v>-125000.95448663311</v>
      </c>
      <c r="T240" s="254">
        <f t="shared" si="35"/>
        <v>-6872.669486633109</v>
      </c>
    </row>
    <row r="241" spans="1:20" x14ac:dyDescent="0.25">
      <c r="A241" s="111">
        <f>Données!A241</f>
        <v>5816</v>
      </c>
      <c r="B241" s="123" t="str">
        <f>Données!B241</f>
        <v>Corcelles-près-Payerne</v>
      </c>
      <c r="C241" s="252">
        <f>Données!C241</f>
        <v>3129</v>
      </c>
      <c r="D241" s="249">
        <f>RFS!W241</f>
        <v>4834584.7551640933</v>
      </c>
      <c r="E241" s="265"/>
      <c r="F241" s="271">
        <f t="shared" si="27"/>
        <v>1545.0894072112794</v>
      </c>
      <c r="G241" s="265">
        <f t="shared" si="32"/>
        <v>-1917.644024127623</v>
      </c>
      <c r="H241" s="272">
        <f t="shared" si="28"/>
        <v>-4800246.5211962657</v>
      </c>
      <c r="I241" s="244"/>
      <c r="J241" s="236">
        <f t="shared" si="33"/>
        <v>3079.2046265133777</v>
      </c>
      <c r="K241" s="265">
        <f t="shared" si="29"/>
        <v>-37.255461691634537</v>
      </c>
      <c r="L241" s="272">
        <f t="shared" si="34"/>
        <v>-116572</v>
      </c>
      <c r="M241" s="265"/>
      <c r="N241" s="274">
        <f>Données!S241</f>
        <v>352624.7</v>
      </c>
      <c r="O241" s="274">
        <f>Données!T241</f>
        <v>58753.1</v>
      </c>
      <c r="P241" s="274">
        <f>Données!U241</f>
        <v>299306.15000000002</v>
      </c>
      <c r="Q241" s="249">
        <f>Données!V241</f>
        <v>63260.85</v>
      </c>
      <c r="R241" s="236">
        <f t="shared" si="30"/>
        <v>374320.23</v>
      </c>
      <c r="S241" s="253">
        <f t="shared" si="31"/>
        <v>-803137.54946339841</v>
      </c>
      <c r="T241" s="254">
        <f t="shared" si="35"/>
        <v>-428817.31946339842</v>
      </c>
    </row>
    <row r="242" spans="1:20" x14ac:dyDescent="0.25">
      <c r="A242" s="111">
        <f>Données!A242</f>
        <v>5817</v>
      </c>
      <c r="B242" s="123" t="str">
        <f>Données!B242</f>
        <v>Grandcour</v>
      </c>
      <c r="C242" s="252">
        <f>Données!C242</f>
        <v>970</v>
      </c>
      <c r="D242" s="249">
        <f>RFS!W242</f>
        <v>1694612.6798807147</v>
      </c>
      <c r="E242" s="265"/>
      <c r="F242" s="271">
        <f t="shared" si="27"/>
        <v>1747.0233813203245</v>
      </c>
      <c r="G242" s="265">
        <f t="shared" si="32"/>
        <v>-1715.7100500185779</v>
      </c>
      <c r="H242" s="272">
        <f t="shared" si="28"/>
        <v>-1331390.9988144166</v>
      </c>
      <c r="I242" s="244"/>
      <c r="J242" s="236">
        <f t="shared" si="33"/>
        <v>3119.5914213351866</v>
      </c>
      <c r="K242" s="265">
        <f t="shared" si="29"/>
        <v>0</v>
      </c>
      <c r="L242" s="272">
        <f t="shared" si="34"/>
        <v>0</v>
      </c>
      <c r="M242" s="265"/>
      <c r="N242" s="274">
        <f>Données!S242</f>
        <v>66399.649999999994</v>
      </c>
      <c r="O242" s="274">
        <f>Données!T242</f>
        <v>57101.5</v>
      </c>
      <c r="P242" s="274">
        <f>Données!U242</f>
        <v>70348.600000000006</v>
      </c>
      <c r="Q242" s="249">
        <f>Données!V242</f>
        <v>8951.65</v>
      </c>
      <c r="R242" s="236">
        <f t="shared" si="30"/>
        <v>99610.37</v>
      </c>
      <c r="S242" s="253">
        <f t="shared" si="31"/>
        <v>-248975.20708836577</v>
      </c>
      <c r="T242" s="254">
        <f t="shared" si="35"/>
        <v>-149364.83708836578</v>
      </c>
    </row>
    <row r="243" spans="1:20" x14ac:dyDescent="0.25">
      <c r="A243" s="111">
        <f>Données!A243</f>
        <v>5819</v>
      </c>
      <c r="B243" s="123" t="str">
        <f>Données!B243</f>
        <v>Henniez</v>
      </c>
      <c r="C243" s="252">
        <f>Données!C243</f>
        <v>464</v>
      </c>
      <c r="D243" s="249">
        <f>RFS!W243</f>
        <v>877466.71867038694</v>
      </c>
      <c r="E243" s="265"/>
      <c r="F243" s="271">
        <f t="shared" si="27"/>
        <v>1891.0920660999718</v>
      </c>
      <c r="G243" s="265">
        <f t="shared" si="32"/>
        <v>-1571.6413652389306</v>
      </c>
      <c r="H243" s="272">
        <f t="shared" si="28"/>
        <v>-583393.27477669111</v>
      </c>
      <c r="I243" s="244"/>
      <c r="J243" s="236">
        <f t="shared" si="33"/>
        <v>3148.4051582911161</v>
      </c>
      <c r="K243" s="265">
        <f t="shared" si="29"/>
        <v>0</v>
      </c>
      <c r="L243" s="272">
        <f t="shared" si="34"/>
        <v>0</v>
      </c>
      <c r="M243" s="265"/>
      <c r="N243" s="274">
        <f>Données!S243</f>
        <v>8667.35</v>
      </c>
      <c r="O243" s="274">
        <f>Données!T243</f>
        <v>0</v>
      </c>
      <c r="P243" s="274">
        <f>Données!U243</f>
        <v>14739.8</v>
      </c>
      <c r="Q243" s="249">
        <f>Données!V243</f>
        <v>6201.35</v>
      </c>
      <c r="R243" s="236">
        <f t="shared" si="30"/>
        <v>13563.980000000001</v>
      </c>
      <c r="S243" s="253">
        <f t="shared" si="31"/>
        <v>-119097.41864845538</v>
      </c>
      <c r="T243" s="254">
        <f t="shared" si="35"/>
        <v>-105533.43864845538</v>
      </c>
    </row>
    <row r="244" spans="1:20" x14ac:dyDescent="0.25">
      <c r="A244" s="111">
        <f>Données!A244</f>
        <v>5821</v>
      </c>
      <c r="B244" s="123" t="str">
        <f>Données!B244</f>
        <v>Missy</v>
      </c>
      <c r="C244" s="252">
        <f>Données!C244</f>
        <v>379</v>
      </c>
      <c r="D244" s="249">
        <f>RFS!W244</f>
        <v>629887.47858325671</v>
      </c>
      <c r="E244" s="265"/>
      <c r="F244" s="271">
        <f t="shared" si="27"/>
        <v>1661.9722390059544</v>
      </c>
      <c r="G244" s="265">
        <f t="shared" si="32"/>
        <v>-1800.761192332948</v>
      </c>
      <c r="H244" s="272">
        <f t="shared" si="28"/>
        <v>-545990.79351534985</v>
      </c>
      <c r="I244" s="244"/>
      <c r="J244" s="236">
        <f t="shared" si="33"/>
        <v>3102.5811928723124</v>
      </c>
      <c r="K244" s="265">
        <f t="shared" si="29"/>
        <v>-13.878895332699813</v>
      </c>
      <c r="L244" s="272">
        <f t="shared" si="34"/>
        <v>-5260</v>
      </c>
      <c r="M244" s="265"/>
      <c r="N244" s="274">
        <f>Données!S244</f>
        <v>44968.7</v>
      </c>
      <c r="O244" s="274">
        <f>Données!T244</f>
        <v>0</v>
      </c>
      <c r="P244" s="274">
        <f>Données!U244</f>
        <v>25576.400000000001</v>
      </c>
      <c r="Q244" s="249">
        <f>Données!V244</f>
        <v>0</v>
      </c>
      <c r="R244" s="236">
        <f t="shared" si="30"/>
        <v>35272.550000000003</v>
      </c>
      <c r="S244" s="253">
        <f t="shared" si="31"/>
        <v>-97280.003594320224</v>
      </c>
      <c r="T244" s="254">
        <f t="shared" si="35"/>
        <v>-62007.453594320221</v>
      </c>
    </row>
    <row r="245" spans="1:20" x14ac:dyDescent="0.25">
      <c r="A245" s="111">
        <f>Données!A245</f>
        <v>5822</v>
      </c>
      <c r="B245" s="123" t="str">
        <f>Données!B245</f>
        <v>Payerne</v>
      </c>
      <c r="C245" s="252">
        <f>Données!C245</f>
        <v>10972</v>
      </c>
      <c r="D245" s="249">
        <f>RFS!W245</f>
        <v>17105456.669185109</v>
      </c>
      <c r="E245" s="265"/>
      <c r="F245" s="271">
        <f t="shared" si="27"/>
        <v>1559.0099042275892</v>
      </c>
      <c r="G245" s="265">
        <f t="shared" si="32"/>
        <v>-1903.7235271113132</v>
      </c>
      <c r="H245" s="272">
        <f t="shared" si="28"/>
        <v>-16710123.631572263</v>
      </c>
      <c r="I245" s="244"/>
      <c r="J245" s="236">
        <f t="shared" si="33"/>
        <v>3081.9887259166399</v>
      </c>
      <c r="K245" s="265">
        <f t="shared" si="29"/>
        <v>-34.471362288372347</v>
      </c>
      <c r="L245" s="272">
        <f t="shared" si="34"/>
        <v>-378220</v>
      </c>
      <c r="M245" s="265"/>
      <c r="N245" s="274">
        <f>Données!S245</f>
        <v>1404733.2</v>
      </c>
      <c r="O245" s="274">
        <f>Données!T245</f>
        <v>186924.2</v>
      </c>
      <c r="P245" s="274">
        <f>Données!U245</f>
        <v>470439.4</v>
      </c>
      <c r="Q245" s="249">
        <f>Données!V245</f>
        <v>328790.7</v>
      </c>
      <c r="R245" s="236">
        <f t="shared" si="30"/>
        <v>1129685.6099999999</v>
      </c>
      <c r="S245" s="253">
        <f t="shared" si="31"/>
        <v>-2816243.2702820092</v>
      </c>
      <c r="T245" s="254">
        <f t="shared" si="35"/>
        <v>-1686557.6602820093</v>
      </c>
    </row>
    <row r="246" spans="1:20" x14ac:dyDescent="0.25">
      <c r="A246" s="111">
        <f>Données!A246</f>
        <v>5827</v>
      </c>
      <c r="B246" s="123" t="str">
        <f>Données!B246</f>
        <v>Trey</v>
      </c>
      <c r="C246" s="252">
        <f>Données!C246</f>
        <v>305</v>
      </c>
      <c r="D246" s="249">
        <f>RFS!W246</f>
        <v>569085.91248665319</v>
      </c>
      <c r="E246" s="265"/>
      <c r="F246" s="271">
        <f t="shared" si="27"/>
        <v>1865.855450775912</v>
      </c>
      <c r="G246" s="265">
        <f t="shared" si="32"/>
        <v>-1596.8779805629904</v>
      </c>
      <c r="H246" s="272">
        <f t="shared" si="28"/>
        <v>-389638.22725736967</v>
      </c>
      <c r="I246" s="244"/>
      <c r="J246" s="236">
        <f t="shared" si="33"/>
        <v>3143.3578352263044</v>
      </c>
      <c r="K246" s="265">
        <f t="shared" si="29"/>
        <v>0</v>
      </c>
      <c r="L246" s="272">
        <f t="shared" si="34"/>
        <v>0</v>
      </c>
      <c r="M246" s="265"/>
      <c r="N246" s="274">
        <f>Données!S246</f>
        <v>9155.2999999999993</v>
      </c>
      <c r="O246" s="274">
        <f>Données!T246</f>
        <v>37753.599999999999</v>
      </c>
      <c r="P246" s="274">
        <f>Données!U246</f>
        <v>2843.3</v>
      </c>
      <c r="Q246" s="249">
        <f>Données!V246</f>
        <v>0</v>
      </c>
      <c r="R246" s="236">
        <f t="shared" si="30"/>
        <v>24876.1</v>
      </c>
      <c r="S246" s="253">
        <f t="shared" si="31"/>
        <v>-78286.0187236614</v>
      </c>
      <c r="T246" s="254">
        <f t="shared" si="35"/>
        <v>-53409.918723661402</v>
      </c>
    </row>
    <row r="247" spans="1:20" x14ac:dyDescent="0.25">
      <c r="A247" s="111">
        <f>Données!A247</f>
        <v>5828</v>
      </c>
      <c r="B247" s="123" t="str">
        <f>Données!B247</f>
        <v>Treytorrens (Payerne)</v>
      </c>
      <c r="C247" s="252">
        <f>Données!C247</f>
        <v>108</v>
      </c>
      <c r="D247" s="249">
        <f>RFS!W247</f>
        <v>239794.91687528853</v>
      </c>
      <c r="E247" s="265"/>
      <c r="F247" s="271">
        <f t="shared" si="27"/>
        <v>2220.3233044008198</v>
      </c>
      <c r="G247" s="265">
        <f t="shared" si="32"/>
        <v>-1242.4101269380826</v>
      </c>
      <c r="H247" s="272">
        <f t="shared" si="28"/>
        <v>-107344.23496745035</v>
      </c>
      <c r="I247" s="244"/>
      <c r="J247" s="236">
        <f t="shared" si="33"/>
        <v>3214.2514059512855</v>
      </c>
      <c r="K247" s="265">
        <f t="shared" si="29"/>
        <v>0</v>
      </c>
      <c r="L247" s="272">
        <f t="shared" si="34"/>
        <v>0</v>
      </c>
      <c r="M247" s="265"/>
      <c r="N247" s="274">
        <f>Données!S247</f>
        <v>3052.5</v>
      </c>
      <c r="O247" s="274">
        <f>Données!T247</f>
        <v>32</v>
      </c>
      <c r="P247" s="274">
        <f>Données!U247</f>
        <v>14511.45</v>
      </c>
      <c r="Q247" s="249">
        <f>Données!V247</f>
        <v>0</v>
      </c>
      <c r="R247" s="236">
        <f t="shared" si="30"/>
        <v>8797.9750000000004</v>
      </c>
      <c r="S247" s="253">
        <f t="shared" si="31"/>
        <v>-27720.950892312889</v>
      </c>
      <c r="T247" s="254">
        <f t="shared" si="35"/>
        <v>-18922.97589231289</v>
      </c>
    </row>
    <row r="248" spans="1:20" x14ac:dyDescent="0.25">
      <c r="A248" s="111">
        <f>Données!A248</f>
        <v>5830</v>
      </c>
      <c r="B248" s="123" t="str">
        <f>Données!B248</f>
        <v>Villarzel</v>
      </c>
      <c r="C248" s="252">
        <f>Données!C248</f>
        <v>522</v>
      </c>
      <c r="D248" s="249">
        <f>RFS!W248</f>
        <v>951263.35947251995</v>
      </c>
      <c r="E248" s="265"/>
      <c r="F248" s="271">
        <f t="shared" si="27"/>
        <v>1822.343600522069</v>
      </c>
      <c r="G248" s="265">
        <f t="shared" si="32"/>
        <v>-1640.3898308168334</v>
      </c>
      <c r="H248" s="272">
        <f t="shared" si="28"/>
        <v>-685026.79334910959</v>
      </c>
      <c r="I248" s="244"/>
      <c r="J248" s="236">
        <f t="shared" si="33"/>
        <v>3134.6554651755355</v>
      </c>
      <c r="K248" s="265">
        <f t="shared" si="29"/>
        <v>0</v>
      </c>
      <c r="L248" s="272">
        <f t="shared" si="34"/>
        <v>0</v>
      </c>
      <c r="M248" s="265"/>
      <c r="N248" s="274">
        <f>Données!S248</f>
        <v>70932.3</v>
      </c>
      <c r="O248" s="274">
        <f>Données!T248</f>
        <v>0</v>
      </c>
      <c r="P248" s="274">
        <f>Données!U248</f>
        <v>30170.15</v>
      </c>
      <c r="Q248" s="249">
        <f>Données!V248</f>
        <v>6245.55</v>
      </c>
      <c r="R248" s="236">
        <f t="shared" si="30"/>
        <v>52424.890000000007</v>
      </c>
      <c r="S248" s="253">
        <f t="shared" si="31"/>
        <v>-133984.59597951229</v>
      </c>
      <c r="T248" s="254">
        <f t="shared" si="35"/>
        <v>-81559.705979512277</v>
      </c>
    </row>
    <row r="249" spans="1:20" x14ac:dyDescent="0.25">
      <c r="A249" s="111">
        <f>Données!A249</f>
        <v>5831</v>
      </c>
      <c r="B249" s="123" t="str">
        <f>Données!B249</f>
        <v>Valbroye</v>
      </c>
      <c r="C249" s="252">
        <f>Données!C249</f>
        <v>3416</v>
      </c>
      <c r="D249" s="249">
        <f>RFS!W249</f>
        <v>6516626.9248414887</v>
      </c>
      <c r="E249" s="265"/>
      <c r="F249" s="271">
        <f t="shared" si="27"/>
        <v>1907.6776712065248</v>
      </c>
      <c r="G249" s="265">
        <f t="shared" si="32"/>
        <v>-1555.0557601323776</v>
      </c>
      <c r="H249" s="272">
        <f t="shared" si="28"/>
        <v>-4249656.3812897615</v>
      </c>
      <c r="I249" s="244"/>
      <c r="J249" s="236">
        <f t="shared" si="33"/>
        <v>3151.722279312427</v>
      </c>
      <c r="K249" s="265">
        <f t="shared" si="29"/>
        <v>0</v>
      </c>
      <c r="L249" s="272">
        <f t="shared" si="34"/>
        <v>0</v>
      </c>
      <c r="M249" s="265"/>
      <c r="N249" s="274">
        <f>Données!S249</f>
        <v>263375.8</v>
      </c>
      <c r="O249" s="274">
        <f>Données!T249</f>
        <v>25884.6</v>
      </c>
      <c r="P249" s="274">
        <f>Données!U249</f>
        <v>178840.55</v>
      </c>
      <c r="Q249" s="249">
        <f>Données!V249</f>
        <v>52345.2</v>
      </c>
      <c r="R249" s="236">
        <f t="shared" si="30"/>
        <v>249754.03499999997</v>
      </c>
      <c r="S249" s="253">
        <f t="shared" si="31"/>
        <v>-876803.40970500768</v>
      </c>
      <c r="T249" s="254">
        <f t="shared" si="35"/>
        <v>-627049.37470500777</v>
      </c>
    </row>
    <row r="250" spans="1:20" x14ac:dyDescent="0.25">
      <c r="A250" s="111">
        <f>Données!A250</f>
        <v>5841</v>
      </c>
      <c r="B250" s="123" t="str">
        <f>Données!B250</f>
        <v>Château-d'Oex</v>
      </c>
      <c r="C250" s="252">
        <f>Données!C250</f>
        <v>3689</v>
      </c>
      <c r="D250" s="249">
        <f>RFS!W250</f>
        <v>9299579.1438415796</v>
      </c>
      <c r="E250" s="265"/>
      <c r="F250" s="271">
        <f t="shared" si="27"/>
        <v>2520.8943192847869</v>
      </c>
      <c r="G250" s="265">
        <f t="shared" si="32"/>
        <v>-941.8391120541155</v>
      </c>
      <c r="H250" s="272">
        <f t="shared" si="28"/>
        <v>-2779555.587494106</v>
      </c>
      <c r="I250" s="244"/>
      <c r="J250" s="236">
        <f t="shared" si="33"/>
        <v>3274.3656089280794</v>
      </c>
      <c r="K250" s="265">
        <f t="shared" si="29"/>
        <v>0</v>
      </c>
      <c r="L250" s="272">
        <f t="shared" si="34"/>
        <v>0</v>
      </c>
      <c r="M250" s="265"/>
      <c r="N250" s="274">
        <f>Données!S250</f>
        <v>527569.05000000005</v>
      </c>
      <c r="O250" s="274">
        <f>Données!T250</f>
        <v>528079</v>
      </c>
      <c r="P250" s="274">
        <f>Données!U250</f>
        <v>542062</v>
      </c>
      <c r="Q250" s="249">
        <f>Données!V250</f>
        <v>11865.95</v>
      </c>
      <c r="R250" s="236">
        <f t="shared" si="30"/>
        <v>802414.81</v>
      </c>
      <c r="S250" s="253">
        <f t="shared" si="31"/>
        <v>-946875.81334946526</v>
      </c>
      <c r="T250" s="254">
        <f t="shared" si="35"/>
        <v>-144461.0033494652</v>
      </c>
    </row>
    <row r="251" spans="1:20" x14ac:dyDescent="0.25">
      <c r="A251" s="111">
        <f>Données!A251</f>
        <v>5842</v>
      </c>
      <c r="B251" s="123" t="str">
        <f>Données!B251</f>
        <v>Rossinière</v>
      </c>
      <c r="C251" s="252">
        <f>Données!C251</f>
        <v>504</v>
      </c>
      <c r="D251" s="249">
        <f>RFS!W251</f>
        <v>1066479.9195341205</v>
      </c>
      <c r="E251" s="265"/>
      <c r="F251" s="271">
        <f t="shared" si="27"/>
        <v>2116.031586377223</v>
      </c>
      <c r="G251" s="265">
        <f t="shared" si="32"/>
        <v>-1346.7018449616794</v>
      </c>
      <c r="H251" s="272">
        <f t="shared" si="28"/>
        <v>-542990.1838885491</v>
      </c>
      <c r="I251" s="244"/>
      <c r="J251" s="236">
        <f t="shared" si="33"/>
        <v>3193.3930623465667</v>
      </c>
      <c r="K251" s="265">
        <f t="shared" si="29"/>
        <v>0</v>
      </c>
      <c r="L251" s="272">
        <f t="shared" si="34"/>
        <v>0</v>
      </c>
      <c r="M251" s="265"/>
      <c r="N251" s="274">
        <f>Données!S251</f>
        <v>66709.899999999994</v>
      </c>
      <c r="O251" s="274">
        <f>Données!T251</f>
        <v>1859214.5</v>
      </c>
      <c r="P251" s="274">
        <f>Données!U251</f>
        <v>62810.35</v>
      </c>
      <c r="Q251" s="249">
        <f>Données!V251</f>
        <v>0</v>
      </c>
      <c r="R251" s="236">
        <f t="shared" si="30"/>
        <v>994367.375</v>
      </c>
      <c r="S251" s="253">
        <f t="shared" si="31"/>
        <v>-129364.43749746015</v>
      </c>
      <c r="T251" s="254">
        <f t="shared" si="35"/>
        <v>865002.93750253983</v>
      </c>
    </row>
    <row r="252" spans="1:20" x14ac:dyDescent="0.25">
      <c r="A252" s="111">
        <f>Données!A252</f>
        <v>5843</v>
      </c>
      <c r="B252" s="123" t="str">
        <f>Données!B252</f>
        <v>Rougemont</v>
      </c>
      <c r="C252" s="252">
        <f>Données!C252</f>
        <v>805</v>
      </c>
      <c r="D252" s="249">
        <f>RFS!W252</f>
        <v>6333888.0103354296</v>
      </c>
      <c r="E252" s="265"/>
      <c r="F252" s="271">
        <f t="shared" si="27"/>
        <v>7868.1838637707197</v>
      </c>
      <c r="G252" s="265">
        <f t="shared" si="32"/>
        <v>4405.4504324318168</v>
      </c>
      <c r="H252" s="272">
        <f t="shared" si="28"/>
        <v>2837110.0784860901</v>
      </c>
      <c r="I252" s="244"/>
      <c r="J252" s="236">
        <f t="shared" si="33"/>
        <v>4343.8235178252662</v>
      </c>
      <c r="K252" s="265">
        <f t="shared" si="29"/>
        <v>0</v>
      </c>
      <c r="L252" s="272">
        <f t="shared" si="34"/>
        <v>0</v>
      </c>
      <c r="M252" s="265"/>
      <c r="N252" s="274">
        <f>Données!S252</f>
        <v>1007349.85</v>
      </c>
      <c r="O252" s="274">
        <f>Données!T252</f>
        <v>527716</v>
      </c>
      <c r="P252" s="274">
        <f>Données!U252</f>
        <v>1315300</v>
      </c>
      <c r="Q252" s="249">
        <f>Données!V252</f>
        <v>14723.1</v>
      </c>
      <c r="R252" s="236">
        <f t="shared" si="30"/>
        <v>1429599.855</v>
      </c>
      <c r="S252" s="253">
        <f t="shared" si="31"/>
        <v>-206623.75433622106</v>
      </c>
      <c r="T252" s="254">
        <f t="shared" si="35"/>
        <v>1222976.1006637788</v>
      </c>
    </row>
    <row r="253" spans="1:20" x14ac:dyDescent="0.25">
      <c r="A253" s="111">
        <f>Données!A253</f>
        <v>5851</v>
      </c>
      <c r="B253" s="123" t="str">
        <f>Données!B253</f>
        <v>Allaman</v>
      </c>
      <c r="C253" s="252">
        <f>Données!C253</f>
        <v>412</v>
      </c>
      <c r="D253" s="249">
        <f>RFS!W253</f>
        <v>1836442.853191904</v>
      </c>
      <c r="E253" s="265"/>
      <c r="F253" s="271">
        <f t="shared" si="27"/>
        <v>4457.3855659997671</v>
      </c>
      <c r="G253" s="265">
        <f t="shared" si="32"/>
        <v>994.6521346608647</v>
      </c>
      <c r="H253" s="272">
        <f t="shared" si="28"/>
        <v>327837.34358422103</v>
      </c>
      <c r="I253" s="244"/>
      <c r="J253" s="236">
        <f t="shared" si="33"/>
        <v>3661.6638582710752</v>
      </c>
      <c r="K253" s="265">
        <f t="shared" si="29"/>
        <v>0</v>
      </c>
      <c r="L253" s="272">
        <f t="shared" si="34"/>
        <v>0</v>
      </c>
      <c r="M253" s="265"/>
      <c r="N253" s="274">
        <f>Données!S253</f>
        <v>88000</v>
      </c>
      <c r="O253" s="274">
        <f>Données!T253</f>
        <v>180933.8</v>
      </c>
      <c r="P253" s="274">
        <f>Données!U253</f>
        <v>0</v>
      </c>
      <c r="Q253" s="249">
        <f>Données!V253</f>
        <v>50231.25</v>
      </c>
      <c r="R253" s="236">
        <f t="shared" si="30"/>
        <v>149536.27499999999</v>
      </c>
      <c r="S253" s="253">
        <f t="shared" si="31"/>
        <v>-105750.29414474916</v>
      </c>
      <c r="T253" s="254">
        <f t="shared" si="35"/>
        <v>43785.980855250833</v>
      </c>
    </row>
    <row r="254" spans="1:20" x14ac:dyDescent="0.25">
      <c r="A254" s="111">
        <f>Données!A254</f>
        <v>5852</v>
      </c>
      <c r="B254" s="123" t="str">
        <f>Données!B254</f>
        <v>Bursinel</v>
      </c>
      <c r="C254" s="252">
        <f>Données!C254</f>
        <v>535</v>
      </c>
      <c r="D254" s="249">
        <f>RFS!W254</f>
        <v>3176589.1899015126</v>
      </c>
      <c r="E254" s="265"/>
      <c r="F254" s="271">
        <f t="shared" si="27"/>
        <v>5937.5498876663787</v>
      </c>
      <c r="G254" s="265">
        <f t="shared" si="32"/>
        <v>2474.8164563274763</v>
      </c>
      <c r="H254" s="272">
        <f t="shared" si="28"/>
        <v>1059221.4433081599</v>
      </c>
      <c r="I254" s="244"/>
      <c r="J254" s="236">
        <f t="shared" si="33"/>
        <v>3957.6967226043971</v>
      </c>
      <c r="K254" s="265">
        <f t="shared" si="29"/>
        <v>0</v>
      </c>
      <c r="L254" s="272">
        <f t="shared" si="34"/>
        <v>0</v>
      </c>
      <c r="M254" s="265"/>
      <c r="N254" s="274">
        <f>Données!S254</f>
        <v>155760</v>
      </c>
      <c r="O254" s="274">
        <f>Données!T254</f>
        <v>0</v>
      </c>
      <c r="P254" s="274">
        <f>Données!U254</f>
        <v>64723.65</v>
      </c>
      <c r="Q254" s="249">
        <f>Données!V254</f>
        <v>11915.25</v>
      </c>
      <c r="R254" s="236">
        <f t="shared" si="30"/>
        <v>113816.4</v>
      </c>
      <c r="S254" s="253">
        <f t="shared" si="31"/>
        <v>-137321.37710543885</v>
      </c>
      <c r="T254" s="254">
        <f t="shared" si="35"/>
        <v>-23504.977105438855</v>
      </c>
    </row>
    <row r="255" spans="1:20" x14ac:dyDescent="0.25">
      <c r="A255" s="111">
        <f>Données!A255</f>
        <v>5853</v>
      </c>
      <c r="B255" s="123" t="str">
        <f>Données!B255</f>
        <v>Bursins</v>
      </c>
      <c r="C255" s="252">
        <f>Données!C255</f>
        <v>831</v>
      </c>
      <c r="D255" s="249">
        <f>RFS!W255</f>
        <v>3068088.0540584465</v>
      </c>
      <c r="E255" s="265"/>
      <c r="F255" s="271">
        <f t="shared" si="27"/>
        <v>3692.0433863519211</v>
      </c>
      <c r="G255" s="265">
        <f t="shared" si="32"/>
        <v>229.30995501301868</v>
      </c>
      <c r="H255" s="272">
        <f t="shared" si="28"/>
        <v>152445.25809265481</v>
      </c>
      <c r="I255" s="244"/>
      <c r="J255" s="236">
        <f t="shared" si="33"/>
        <v>3508.595422341506</v>
      </c>
      <c r="K255" s="265">
        <f t="shared" si="29"/>
        <v>0</v>
      </c>
      <c r="L255" s="272">
        <f t="shared" si="34"/>
        <v>0</v>
      </c>
      <c r="M255" s="265"/>
      <c r="N255" s="274">
        <f>Données!S255</f>
        <v>148614.25</v>
      </c>
      <c r="O255" s="274">
        <f>Données!T255</f>
        <v>6077.2</v>
      </c>
      <c r="P255" s="274">
        <f>Données!U255</f>
        <v>235430.55</v>
      </c>
      <c r="Q255" s="249">
        <f>Données!V255</f>
        <v>120423.95</v>
      </c>
      <c r="R255" s="236">
        <f t="shared" si="30"/>
        <v>231188.185</v>
      </c>
      <c r="S255" s="253">
        <f t="shared" si="31"/>
        <v>-213297.31658807417</v>
      </c>
      <c r="T255" s="254">
        <f t="shared" si="35"/>
        <v>17890.868411925825</v>
      </c>
    </row>
    <row r="256" spans="1:20" x14ac:dyDescent="0.25">
      <c r="A256" s="111">
        <f>Données!A256</f>
        <v>5854</v>
      </c>
      <c r="B256" s="123" t="str">
        <f>Données!B256</f>
        <v>Burtigny</v>
      </c>
      <c r="C256" s="252">
        <f>Données!C256</f>
        <v>406</v>
      </c>
      <c r="D256" s="249">
        <f>RFS!W256</f>
        <v>1029434.8186036289</v>
      </c>
      <c r="E256" s="265"/>
      <c r="F256" s="271">
        <f t="shared" si="27"/>
        <v>2535.5537404030269</v>
      </c>
      <c r="G256" s="265">
        <f t="shared" si="32"/>
        <v>-927.17969093587544</v>
      </c>
      <c r="H256" s="272">
        <f t="shared" si="28"/>
        <v>-301147.96361597237</v>
      </c>
      <c r="I256" s="244"/>
      <c r="J256" s="236">
        <f t="shared" si="33"/>
        <v>3277.2974931517274</v>
      </c>
      <c r="K256" s="265">
        <f t="shared" si="29"/>
        <v>0</v>
      </c>
      <c r="L256" s="272">
        <f t="shared" si="34"/>
        <v>0</v>
      </c>
      <c r="M256" s="265"/>
      <c r="N256" s="274">
        <f>Données!S256</f>
        <v>48954.1</v>
      </c>
      <c r="O256" s="274">
        <f>Données!T256</f>
        <v>0</v>
      </c>
      <c r="P256" s="274">
        <f>Données!U256</f>
        <v>35153.85</v>
      </c>
      <c r="Q256" s="249">
        <f>Données!V256</f>
        <v>13589.8</v>
      </c>
      <c r="R256" s="236">
        <f t="shared" si="30"/>
        <v>46130.915000000001</v>
      </c>
      <c r="S256" s="253">
        <f t="shared" si="31"/>
        <v>-104210.24131739845</v>
      </c>
      <c r="T256" s="254">
        <f t="shared" si="35"/>
        <v>-58079.326317398452</v>
      </c>
    </row>
    <row r="257" spans="1:20" x14ac:dyDescent="0.25">
      <c r="A257" s="111">
        <f>Données!A257</f>
        <v>5855</v>
      </c>
      <c r="B257" s="123" t="str">
        <f>Données!B257</f>
        <v>Dully</v>
      </c>
      <c r="C257" s="252">
        <f>Données!C257</f>
        <v>637</v>
      </c>
      <c r="D257" s="249">
        <f>RFS!W257</f>
        <v>7096304.4317878215</v>
      </c>
      <c r="E257" s="265"/>
      <c r="F257" s="271">
        <f t="shared" si="27"/>
        <v>11140.195340326251</v>
      </c>
      <c r="G257" s="265">
        <f t="shared" si="32"/>
        <v>7677.4619089873486</v>
      </c>
      <c r="H257" s="272">
        <f t="shared" si="28"/>
        <v>3912434.5888199531</v>
      </c>
      <c r="I257" s="244"/>
      <c r="J257" s="236">
        <f t="shared" si="33"/>
        <v>4998.2258131363706</v>
      </c>
      <c r="K257" s="265">
        <f t="shared" si="29"/>
        <v>0</v>
      </c>
      <c r="L257" s="272">
        <f t="shared" si="34"/>
        <v>0</v>
      </c>
      <c r="M257" s="265"/>
      <c r="N257" s="274">
        <f>Données!S257</f>
        <v>190740</v>
      </c>
      <c r="O257" s="274">
        <f>Données!T257</f>
        <v>0</v>
      </c>
      <c r="P257" s="274">
        <f>Données!U257</f>
        <v>284589.59999999998</v>
      </c>
      <c r="Q257" s="249">
        <f>Données!V257</f>
        <v>5621.05</v>
      </c>
      <c r="R257" s="236">
        <f t="shared" si="30"/>
        <v>239351.11499999999</v>
      </c>
      <c r="S257" s="253">
        <f t="shared" si="31"/>
        <v>-163502.27517040103</v>
      </c>
      <c r="T257" s="254">
        <f t="shared" si="35"/>
        <v>75848.839829598961</v>
      </c>
    </row>
    <row r="258" spans="1:20" x14ac:dyDescent="0.25">
      <c r="A258" s="111">
        <f>Données!A258</f>
        <v>5856</v>
      </c>
      <c r="B258" s="123" t="str">
        <f>Données!B258</f>
        <v>Essertines-sur-Rolle</v>
      </c>
      <c r="C258" s="252">
        <f>Données!C258</f>
        <v>770</v>
      </c>
      <c r="D258" s="249">
        <f>RFS!W258</f>
        <v>2851418.8716660161</v>
      </c>
      <c r="E258" s="265"/>
      <c r="F258" s="271">
        <f t="shared" si="27"/>
        <v>3703.141391774047</v>
      </c>
      <c r="G258" s="265">
        <f t="shared" si="32"/>
        <v>240.40796043514456</v>
      </c>
      <c r="H258" s="272">
        <f t="shared" si="28"/>
        <v>148091.30362804906</v>
      </c>
      <c r="I258" s="244"/>
      <c r="J258" s="236">
        <f t="shared" si="33"/>
        <v>3510.8150234259315</v>
      </c>
      <c r="K258" s="265">
        <f t="shared" si="29"/>
        <v>0</v>
      </c>
      <c r="L258" s="272">
        <f t="shared" si="34"/>
        <v>0</v>
      </c>
      <c r="M258" s="265"/>
      <c r="N258" s="274">
        <f>Données!S258</f>
        <v>60500</v>
      </c>
      <c r="O258" s="274">
        <f>Données!T258</f>
        <v>205.3</v>
      </c>
      <c r="P258" s="274">
        <f>Données!U258</f>
        <v>60140.95</v>
      </c>
      <c r="Q258" s="249">
        <f>Données!V258</f>
        <v>1382.45</v>
      </c>
      <c r="R258" s="236">
        <f t="shared" si="30"/>
        <v>60837.86</v>
      </c>
      <c r="S258" s="253">
        <f t="shared" si="31"/>
        <v>-197640.11284334189</v>
      </c>
      <c r="T258" s="254">
        <f t="shared" si="35"/>
        <v>-136802.25284334191</v>
      </c>
    </row>
    <row r="259" spans="1:20" x14ac:dyDescent="0.25">
      <c r="A259" s="111">
        <f>Données!A259</f>
        <v>5857</v>
      </c>
      <c r="B259" s="123" t="str">
        <f>Données!B259</f>
        <v>Gilly</v>
      </c>
      <c r="C259" s="252">
        <f>Données!C259</f>
        <v>1429</v>
      </c>
      <c r="D259" s="249">
        <f>RFS!W259</f>
        <v>6536621.6233579898</v>
      </c>
      <c r="E259" s="265"/>
      <c r="F259" s="271">
        <f t="shared" si="27"/>
        <v>4574.2628574933451</v>
      </c>
      <c r="G259" s="265">
        <f t="shared" si="32"/>
        <v>1111.5294261544427</v>
      </c>
      <c r="H259" s="272">
        <f t="shared" si="28"/>
        <v>1270700.439979759</v>
      </c>
      <c r="I259" s="244"/>
      <c r="J259" s="236">
        <f t="shared" si="33"/>
        <v>3685.0393165697906</v>
      </c>
      <c r="K259" s="265">
        <f t="shared" si="29"/>
        <v>0</v>
      </c>
      <c r="L259" s="272">
        <f t="shared" si="34"/>
        <v>0</v>
      </c>
      <c r="M259" s="265"/>
      <c r="N259" s="274">
        <f>Données!S259</f>
        <v>232631.85</v>
      </c>
      <c r="O259" s="274">
        <f>Données!T259</f>
        <v>32471.200000000001</v>
      </c>
      <c r="P259" s="274">
        <f>Données!U259</f>
        <v>229944.85</v>
      </c>
      <c r="Q259" s="249">
        <f>Données!V259</f>
        <v>83329.350000000006</v>
      </c>
      <c r="R259" s="236">
        <f t="shared" si="30"/>
        <v>272522.755</v>
      </c>
      <c r="S259" s="253">
        <f t="shared" si="31"/>
        <v>-366789.24838069553</v>
      </c>
      <c r="T259" s="254">
        <f t="shared" si="35"/>
        <v>-94266.493380695523</v>
      </c>
    </row>
    <row r="260" spans="1:20" x14ac:dyDescent="0.25">
      <c r="A260" s="111">
        <f>Données!A260</f>
        <v>5858</v>
      </c>
      <c r="B260" s="123" t="str">
        <f>Données!B260</f>
        <v>Luins</v>
      </c>
      <c r="C260" s="252">
        <f>Données!C260</f>
        <v>640</v>
      </c>
      <c r="D260" s="249">
        <f>RFS!W260</f>
        <v>2479938.7316078232</v>
      </c>
      <c r="E260" s="265"/>
      <c r="F260" s="271">
        <f t="shared" si="27"/>
        <v>3874.9042681372239</v>
      </c>
      <c r="G260" s="265">
        <f t="shared" si="32"/>
        <v>412.17083679832149</v>
      </c>
      <c r="H260" s="272">
        <f t="shared" si="28"/>
        <v>211031.4684407406</v>
      </c>
      <c r="I260" s="244"/>
      <c r="J260" s="236">
        <f t="shared" si="33"/>
        <v>3545.1675986985661</v>
      </c>
      <c r="K260" s="265">
        <f t="shared" si="29"/>
        <v>0</v>
      </c>
      <c r="L260" s="272">
        <f t="shared" si="34"/>
        <v>0</v>
      </c>
      <c r="M260" s="265"/>
      <c r="N260" s="274">
        <f>Données!S260</f>
        <v>268802.09999999998</v>
      </c>
      <c r="O260" s="274">
        <f>Données!T260</f>
        <v>0</v>
      </c>
      <c r="P260" s="274">
        <f>Données!U260</f>
        <v>201946.25</v>
      </c>
      <c r="Q260" s="249">
        <f>Données!V260</f>
        <v>6228.5</v>
      </c>
      <c r="R260" s="236">
        <f t="shared" si="30"/>
        <v>237242.72499999998</v>
      </c>
      <c r="S260" s="253">
        <f t="shared" si="31"/>
        <v>-164272.30158407637</v>
      </c>
      <c r="T260" s="254">
        <f t="shared" si="35"/>
        <v>72970.423415923608</v>
      </c>
    </row>
    <row r="261" spans="1:20" x14ac:dyDescent="0.25">
      <c r="A261" s="111">
        <f>Données!A261</f>
        <v>5859</v>
      </c>
      <c r="B261" s="123" t="str">
        <f>Données!B261</f>
        <v>Mont-sur-Rolle</v>
      </c>
      <c r="C261" s="252">
        <f>Données!C261</f>
        <v>2759</v>
      </c>
      <c r="D261" s="249">
        <f>RFS!W261</f>
        <v>12541440.020757083</v>
      </c>
      <c r="E261" s="265"/>
      <c r="F261" s="271">
        <f t="shared" si="27"/>
        <v>4545.6469810645458</v>
      </c>
      <c r="G261" s="265">
        <f t="shared" si="32"/>
        <v>1082.9135497256434</v>
      </c>
      <c r="H261" s="272">
        <f t="shared" si="28"/>
        <v>2390206.7869544402</v>
      </c>
      <c r="I261" s="244"/>
      <c r="J261" s="236">
        <f t="shared" si="33"/>
        <v>3679.3161412840313</v>
      </c>
      <c r="K261" s="265">
        <f t="shared" si="29"/>
        <v>0</v>
      </c>
      <c r="L261" s="272">
        <f t="shared" si="34"/>
        <v>0</v>
      </c>
      <c r="M261" s="265"/>
      <c r="N261" s="274">
        <f>Données!S261</f>
        <v>686344.2</v>
      </c>
      <c r="O261" s="274">
        <f>Données!T261</f>
        <v>118734.2</v>
      </c>
      <c r="P261" s="274">
        <f>Données!U261</f>
        <v>392513.9</v>
      </c>
      <c r="Q261" s="249">
        <f>Données!V261</f>
        <v>122944.4</v>
      </c>
      <c r="R261" s="236">
        <f t="shared" si="30"/>
        <v>635679.46999999986</v>
      </c>
      <c r="S261" s="253">
        <f t="shared" si="31"/>
        <v>-708167.62511010421</v>
      </c>
      <c r="T261" s="254">
        <f t="shared" si="35"/>
        <v>-72488.155110104359</v>
      </c>
    </row>
    <row r="262" spans="1:20" x14ac:dyDescent="0.25">
      <c r="A262" s="111">
        <f>Données!A262</f>
        <v>5860</v>
      </c>
      <c r="B262" s="123" t="str">
        <f>Données!B262</f>
        <v>Perroy</v>
      </c>
      <c r="C262" s="252">
        <f>Données!C262</f>
        <v>1573</v>
      </c>
      <c r="D262" s="249">
        <f>RFS!W262</f>
        <v>7919618.7304006657</v>
      </c>
      <c r="E262" s="265"/>
      <c r="F262" s="271">
        <f t="shared" si="27"/>
        <v>5034.722651240093</v>
      </c>
      <c r="G262" s="265">
        <f t="shared" si="32"/>
        <v>1571.9892199011906</v>
      </c>
      <c r="H262" s="272">
        <f t="shared" si="28"/>
        <v>1978191.2343236583</v>
      </c>
      <c r="I262" s="244"/>
      <c r="J262" s="236">
        <f t="shared" si="33"/>
        <v>3777.1312753191401</v>
      </c>
      <c r="K262" s="265">
        <f t="shared" si="29"/>
        <v>0</v>
      </c>
      <c r="L262" s="272">
        <f t="shared" si="34"/>
        <v>0</v>
      </c>
      <c r="M262" s="265"/>
      <c r="N262" s="274">
        <f>Données!S262</f>
        <v>249486.2</v>
      </c>
      <c r="O262" s="274">
        <f>Données!T262</f>
        <v>37557.5</v>
      </c>
      <c r="P262" s="274">
        <f>Données!U262</f>
        <v>160927.75</v>
      </c>
      <c r="Q262" s="249">
        <f>Données!V262</f>
        <v>53594.5</v>
      </c>
      <c r="R262" s="236">
        <f t="shared" si="30"/>
        <v>240064.07500000001</v>
      </c>
      <c r="S262" s="253">
        <f t="shared" si="31"/>
        <v>-403750.51623711269</v>
      </c>
      <c r="T262" s="254">
        <f t="shared" si="35"/>
        <v>-163686.44123711268</v>
      </c>
    </row>
    <row r="263" spans="1:20" x14ac:dyDescent="0.25">
      <c r="A263" s="111">
        <f>Données!A263</f>
        <v>5861</v>
      </c>
      <c r="B263" s="123" t="str">
        <f>Données!B263</f>
        <v>Rolle</v>
      </c>
      <c r="C263" s="252">
        <f>Données!C263</f>
        <v>6604</v>
      </c>
      <c r="D263" s="249">
        <f>RFS!W263</f>
        <v>70589859.16099368</v>
      </c>
      <c r="E263" s="265"/>
      <c r="F263" s="271">
        <f t="shared" si="27"/>
        <v>10688.955051634415</v>
      </c>
      <c r="G263" s="265">
        <f t="shared" si="32"/>
        <v>7226.2216202955133</v>
      </c>
      <c r="H263" s="272">
        <f t="shared" si="28"/>
        <v>38177574.064345263</v>
      </c>
      <c r="I263" s="244"/>
      <c r="J263" s="236">
        <f t="shared" si="33"/>
        <v>4907.9777553980039</v>
      </c>
      <c r="K263" s="265">
        <f t="shared" si="29"/>
        <v>0</v>
      </c>
      <c r="L263" s="272">
        <f t="shared" si="34"/>
        <v>0</v>
      </c>
      <c r="M263" s="265"/>
      <c r="N263" s="274">
        <f>Données!S263</f>
        <v>1329596.2</v>
      </c>
      <c r="O263" s="274">
        <f>Données!T263</f>
        <v>454951</v>
      </c>
      <c r="P263" s="274">
        <f>Données!U263</f>
        <v>1072925.45</v>
      </c>
      <c r="Q263" s="249">
        <f>Données!V263</f>
        <v>552070</v>
      </c>
      <c r="R263" s="236">
        <f t="shared" si="30"/>
        <v>1594357.325</v>
      </c>
      <c r="S263" s="253">
        <f t="shared" si="31"/>
        <v>-1695084.8119706882</v>
      </c>
      <c r="T263" s="254">
        <f t="shared" si="35"/>
        <v>-100727.48697068822</v>
      </c>
    </row>
    <row r="264" spans="1:20" x14ac:dyDescent="0.25">
      <c r="A264" s="111">
        <f>Données!A264</f>
        <v>5862</v>
      </c>
      <c r="B264" s="123" t="str">
        <f>Données!B264</f>
        <v>Tartegnin</v>
      </c>
      <c r="C264" s="252">
        <f>Données!C264</f>
        <v>246</v>
      </c>
      <c r="D264" s="249">
        <f>RFS!W264</f>
        <v>740131.57486137061</v>
      </c>
      <c r="E264" s="265"/>
      <c r="F264" s="271">
        <f t="shared" ref="F264:F307" si="36">D264/C264</f>
        <v>3008.6649384608563</v>
      </c>
      <c r="G264" s="265">
        <f t="shared" si="32"/>
        <v>-454.06849287804607</v>
      </c>
      <c r="H264" s="272">
        <f t="shared" ref="H264:H307" si="37">G264*$G$6*C264</f>
        <v>-89360.679398399472</v>
      </c>
      <c r="I264" s="244"/>
      <c r="J264" s="236">
        <f t="shared" si="33"/>
        <v>3371.9197327632928</v>
      </c>
      <c r="K264" s="265">
        <f t="shared" ref="K264:K307" si="38">IF(J264&lt;$J$6,J264-($J$6),0)</f>
        <v>0</v>
      </c>
      <c r="L264" s="272">
        <f t="shared" si="34"/>
        <v>0</v>
      </c>
      <c r="M264" s="265"/>
      <c r="N264" s="274">
        <f>Données!S264</f>
        <v>20790</v>
      </c>
      <c r="O264" s="274">
        <f>Données!T264</f>
        <v>822.6</v>
      </c>
      <c r="P264" s="274">
        <f>Données!U264</f>
        <v>11378.4</v>
      </c>
      <c r="Q264" s="249">
        <f>Données!V264</f>
        <v>3880.75</v>
      </c>
      <c r="R264" s="236">
        <f t="shared" ref="R264:R307" si="39">SUMPRODUCT($N$6:$Q$6,N264:Q264)</f>
        <v>17659.724999999999</v>
      </c>
      <c r="S264" s="253">
        <f t="shared" ref="S264:S307" si="40">-($R$308-$S$6)/$C$308*C264</f>
        <v>-63142.165921379354</v>
      </c>
      <c r="T264" s="254">
        <f t="shared" si="35"/>
        <v>-45482.440921379355</v>
      </c>
    </row>
    <row r="265" spans="1:20" x14ac:dyDescent="0.25">
      <c r="A265" s="111">
        <f>Données!A265</f>
        <v>5863</v>
      </c>
      <c r="B265" s="123" t="str">
        <f>Données!B265</f>
        <v>Vinzel</v>
      </c>
      <c r="C265" s="252">
        <f>Données!C265</f>
        <v>385</v>
      </c>
      <c r="D265" s="249">
        <f>RFS!W265</f>
        <v>1485162.7742951876</v>
      </c>
      <c r="E265" s="265"/>
      <c r="F265" s="271">
        <f t="shared" si="36"/>
        <v>3857.5656475199676</v>
      </c>
      <c r="G265" s="265">
        <f t="shared" ref="G265:G307" si="41">F265-$F$308</f>
        <v>394.83221618106518</v>
      </c>
      <c r="H265" s="272">
        <f t="shared" si="37"/>
        <v>121608.32258376808</v>
      </c>
      <c r="I265" s="244"/>
      <c r="J265" s="236">
        <f t="shared" ref="J265:J307" si="42">(D265-H265)/C265</f>
        <v>3541.6998745751157</v>
      </c>
      <c r="K265" s="265">
        <f t="shared" si="38"/>
        <v>0</v>
      </c>
      <c r="L265" s="272">
        <f t="shared" ref="L265:L307" si="43">ROUND(K265*C265,0)</f>
        <v>0</v>
      </c>
      <c r="M265" s="265"/>
      <c r="N265" s="274">
        <f>Données!S265</f>
        <v>51300.7</v>
      </c>
      <c r="O265" s="274">
        <f>Données!T265</f>
        <v>0</v>
      </c>
      <c r="P265" s="274">
        <f>Données!U265</f>
        <v>52269.3</v>
      </c>
      <c r="Q265" s="249">
        <f>Données!V265</f>
        <v>19084.8</v>
      </c>
      <c r="R265" s="236">
        <f t="shared" si="39"/>
        <v>57510.44</v>
      </c>
      <c r="S265" s="253">
        <f t="shared" si="40"/>
        <v>-98820.056421670946</v>
      </c>
      <c r="T265" s="254">
        <f t="shared" ref="T265:T307" si="44">R265+S265</f>
        <v>-41309.616421670944</v>
      </c>
    </row>
    <row r="266" spans="1:20" x14ac:dyDescent="0.25">
      <c r="A266" s="111">
        <f>Données!A266</f>
        <v>5871</v>
      </c>
      <c r="B266" s="123" t="str">
        <f>Données!B266</f>
        <v>L'Abbaye</v>
      </c>
      <c r="C266" s="252">
        <f>Données!C266</f>
        <v>1599</v>
      </c>
      <c r="D266" s="249">
        <f>RFS!W266</f>
        <v>3506771.2388595897</v>
      </c>
      <c r="E266" s="265"/>
      <c r="F266" s="271">
        <f t="shared" si="36"/>
        <v>2193.1027134831706</v>
      </c>
      <c r="G266" s="265">
        <f t="shared" si="41"/>
        <v>-1269.6307178557317</v>
      </c>
      <c r="H266" s="272">
        <f t="shared" si="37"/>
        <v>-1624111.614281052</v>
      </c>
      <c r="I266" s="244"/>
      <c r="J266" s="236">
        <f t="shared" si="42"/>
        <v>3208.807287767756</v>
      </c>
      <c r="K266" s="265">
        <f t="shared" si="38"/>
        <v>0</v>
      </c>
      <c r="L266" s="272">
        <f t="shared" si="43"/>
        <v>0</v>
      </c>
      <c r="M266" s="265"/>
      <c r="N266" s="274">
        <f>Données!S266</f>
        <v>133510.45000000001</v>
      </c>
      <c r="O266" s="274">
        <f>Données!T266</f>
        <v>10483.200000000001</v>
      </c>
      <c r="P266" s="274">
        <f>Données!U266</f>
        <v>197256.55000000002</v>
      </c>
      <c r="Q266" s="249">
        <f>Données!V266</f>
        <v>613347.69999999995</v>
      </c>
      <c r="R266" s="236">
        <f t="shared" si="39"/>
        <v>354629.41000000003</v>
      </c>
      <c r="S266" s="253">
        <f t="shared" si="40"/>
        <v>-410424.07848896581</v>
      </c>
      <c r="T266" s="254">
        <f t="shared" si="44"/>
        <v>-55794.668488965777</v>
      </c>
    </row>
    <row r="267" spans="1:20" x14ac:dyDescent="0.25">
      <c r="A267" s="111">
        <f>Données!A267</f>
        <v>5872</v>
      </c>
      <c r="B267" s="123" t="str">
        <f>Données!B267</f>
        <v>Le Chenit</v>
      </c>
      <c r="C267" s="252">
        <f>Données!C267</f>
        <v>4792</v>
      </c>
      <c r="D267" s="249">
        <f>RFS!W267</f>
        <v>24252899.990203101</v>
      </c>
      <c r="E267" s="265"/>
      <c r="F267" s="271">
        <f t="shared" si="36"/>
        <v>5061.1227024630844</v>
      </c>
      <c r="G267" s="265">
        <f t="shared" si="41"/>
        <v>1598.389271124182</v>
      </c>
      <c r="H267" s="272">
        <f t="shared" si="37"/>
        <v>6127585.1097816648</v>
      </c>
      <c r="I267" s="244"/>
      <c r="J267" s="236">
        <f t="shared" si="42"/>
        <v>3782.4112855637391</v>
      </c>
      <c r="K267" s="265">
        <f t="shared" si="38"/>
        <v>0</v>
      </c>
      <c r="L267" s="272">
        <f t="shared" si="43"/>
        <v>0</v>
      </c>
      <c r="M267" s="265"/>
      <c r="N267" s="274">
        <f>Données!S267</f>
        <v>331724.59999999998</v>
      </c>
      <c r="O267" s="274">
        <f>Données!T267</f>
        <v>271362.2</v>
      </c>
      <c r="P267" s="274">
        <f>Données!U267</f>
        <v>273071.8</v>
      </c>
      <c r="Q267" s="249">
        <f>Données!V267</f>
        <v>6043571.2000000002</v>
      </c>
      <c r="R267" s="236">
        <f t="shared" si="39"/>
        <v>2251150.66</v>
      </c>
      <c r="S267" s="253">
        <f t="shared" si="40"/>
        <v>-1229988.858110772</v>
      </c>
      <c r="T267" s="254">
        <f t="shared" si="44"/>
        <v>1021161.8018892282</v>
      </c>
    </row>
    <row r="268" spans="1:20" x14ac:dyDescent="0.25">
      <c r="A268" s="111">
        <f>Données!A268</f>
        <v>5873</v>
      </c>
      <c r="B268" s="123" t="str">
        <f>Données!B268</f>
        <v>Le Lieu</v>
      </c>
      <c r="C268" s="252">
        <f>Données!C268</f>
        <v>926</v>
      </c>
      <c r="D268" s="249">
        <f>RFS!W268</f>
        <v>2039199.814276488</v>
      </c>
      <c r="E268" s="265"/>
      <c r="F268" s="271">
        <f t="shared" si="36"/>
        <v>2202.1596266484753</v>
      </c>
      <c r="G268" s="265">
        <f t="shared" si="41"/>
        <v>-1260.5738046904271</v>
      </c>
      <c r="H268" s="272">
        <f t="shared" si="37"/>
        <v>-933833.07451466843</v>
      </c>
      <c r="I268" s="244"/>
      <c r="J268" s="236">
        <f t="shared" si="42"/>
        <v>3210.6186704008169</v>
      </c>
      <c r="K268" s="265">
        <f t="shared" si="38"/>
        <v>0</v>
      </c>
      <c r="L268" s="272">
        <f t="shared" si="43"/>
        <v>0</v>
      </c>
      <c r="M268" s="265"/>
      <c r="N268" s="274">
        <f>Données!S268</f>
        <v>54328.45</v>
      </c>
      <c r="O268" s="274">
        <f>Données!T268</f>
        <v>8571</v>
      </c>
      <c r="P268" s="274">
        <f>Données!U268</f>
        <v>35249.75</v>
      </c>
      <c r="Q268" s="249">
        <f>Données!V268</f>
        <v>1254596.3500000001</v>
      </c>
      <c r="R268" s="236">
        <f t="shared" si="39"/>
        <v>425453.505</v>
      </c>
      <c r="S268" s="253">
        <f t="shared" si="40"/>
        <v>-237681.4863544605</v>
      </c>
      <c r="T268" s="254">
        <f t="shared" si="44"/>
        <v>187772.0186455395</v>
      </c>
    </row>
    <row r="269" spans="1:20" x14ac:dyDescent="0.25">
      <c r="A269" s="111">
        <f>Données!A269</f>
        <v>5882</v>
      </c>
      <c r="B269" s="123" t="str">
        <f>Données!B269</f>
        <v>Chardonne</v>
      </c>
      <c r="C269" s="252">
        <f>Données!C269</f>
        <v>3384</v>
      </c>
      <c r="D269" s="249">
        <f>RFS!W269</f>
        <v>13367741.172998812</v>
      </c>
      <c r="E269" s="265"/>
      <c r="F269" s="271">
        <f t="shared" si="36"/>
        <v>3950.2781244086323</v>
      </c>
      <c r="G269" s="265">
        <f t="shared" si="41"/>
        <v>487.54469306972987</v>
      </c>
      <c r="H269" s="272">
        <f t="shared" si="37"/>
        <v>1319880.9930783729</v>
      </c>
      <c r="I269" s="244"/>
      <c r="J269" s="236">
        <f t="shared" si="42"/>
        <v>3560.2423699528481</v>
      </c>
      <c r="K269" s="265">
        <f t="shared" si="38"/>
        <v>0</v>
      </c>
      <c r="L269" s="272">
        <f t="shared" si="43"/>
        <v>0</v>
      </c>
      <c r="M269" s="265"/>
      <c r="N269" s="274">
        <f>Données!S269</f>
        <v>1045281.8</v>
      </c>
      <c r="O269" s="274">
        <f>Données!T269</f>
        <v>494327.8</v>
      </c>
      <c r="P269" s="274">
        <f>Données!U269</f>
        <v>498208.3</v>
      </c>
      <c r="Q269" s="249">
        <f>Données!V269</f>
        <v>22753.9</v>
      </c>
      <c r="R269" s="236">
        <f t="shared" si="39"/>
        <v>1025735.1200000001</v>
      </c>
      <c r="S269" s="253">
        <f t="shared" si="40"/>
        <v>-868589.79462580383</v>
      </c>
      <c r="T269" s="254">
        <f t="shared" si="44"/>
        <v>157145.32537419628</v>
      </c>
    </row>
    <row r="270" spans="1:20" x14ac:dyDescent="0.25">
      <c r="A270" s="111">
        <f>Données!A270</f>
        <v>5883</v>
      </c>
      <c r="B270" s="123" t="str">
        <f>Données!B270</f>
        <v>Corseaux</v>
      </c>
      <c r="C270" s="252">
        <f>Données!C270</f>
        <v>2326</v>
      </c>
      <c r="D270" s="249">
        <f>RFS!W270</f>
        <v>13281541.497827604</v>
      </c>
      <c r="E270" s="265"/>
      <c r="F270" s="271">
        <f t="shared" si="36"/>
        <v>5710.035037759073</v>
      </c>
      <c r="G270" s="265">
        <f t="shared" si="41"/>
        <v>2247.3016064201706</v>
      </c>
      <c r="H270" s="272">
        <f t="shared" si="37"/>
        <v>4181778.8292266536</v>
      </c>
      <c r="I270" s="244"/>
      <c r="J270" s="236">
        <f t="shared" si="42"/>
        <v>3912.1937526229367</v>
      </c>
      <c r="K270" s="265">
        <f t="shared" si="38"/>
        <v>0</v>
      </c>
      <c r="L270" s="272">
        <f t="shared" si="43"/>
        <v>0</v>
      </c>
      <c r="M270" s="265"/>
      <c r="N270" s="274">
        <f>Données!S270</f>
        <v>667868.85</v>
      </c>
      <c r="O270" s="274">
        <f>Données!T270</f>
        <v>135276.29999999999</v>
      </c>
      <c r="P270" s="274">
        <f>Données!U270</f>
        <v>465909.15</v>
      </c>
      <c r="Q270" s="249">
        <f>Données!V270</f>
        <v>8048.45</v>
      </c>
      <c r="R270" s="236">
        <f t="shared" si="39"/>
        <v>636941.68499999994</v>
      </c>
      <c r="S270" s="253">
        <f t="shared" si="40"/>
        <v>-597027.1460696276</v>
      </c>
      <c r="T270" s="254">
        <f t="shared" si="44"/>
        <v>39914.538930372335</v>
      </c>
    </row>
    <row r="271" spans="1:20" x14ac:dyDescent="0.25">
      <c r="A271" s="111">
        <f>Données!A271</f>
        <v>5884</v>
      </c>
      <c r="B271" s="123" t="str">
        <f>Données!B271</f>
        <v>Corsier-sur-Vevey</v>
      </c>
      <c r="C271" s="252">
        <f>Données!C271</f>
        <v>3458</v>
      </c>
      <c r="D271" s="249">
        <f>RFS!W271</f>
        <v>16564276.502768431</v>
      </c>
      <c r="E271" s="265"/>
      <c r="F271" s="271">
        <f t="shared" si="36"/>
        <v>4790.1320135247051</v>
      </c>
      <c r="G271" s="265">
        <f t="shared" si="41"/>
        <v>1327.3985821858028</v>
      </c>
      <c r="H271" s="272">
        <f t="shared" si="37"/>
        <v>3672115.4377588048</v>
      </c>
      <c r="I271" s="244"/>
      <c r="J271" s="236">
        <f t="shared" si="42"/>
        <v>3728.2131477760631</v>
      </c>
      <c r="K271" s="265">
        <f t="shared" si="38"/>
        <v>0</v>
      </c>
      <c r="L271" s="272">
        <f t="shared" si="43"/>
        <v>0</v>
      </c>
      <c r="M271" s="265"/>
      <c r="N271" s="274">
        <f>Données!S271</f>
        <v>413778.8</v>
      </c>
      <c r="O271" s="274">
        <f>Données!T271</f>
        <v>270227</v>
      </c>
      <c r="P271" s="274">
        <f>Données!U271</f>
        <v>387349.65</v>
      </c>
      <c r="Q271" s="249">
        <f>Données!V271</f>
        <v>607157.65</v>
      </c>
      <c r="R271" s="236">
        <f t="shared" si="39"/>
        <v>717825.02000000014</v>
      </c>
      <c r="S271" s="253">
        <f t="shared" si="40"/>
        <v>-887583.77949646267</v>
      </c>
      <c r="T271" s="254">
        <f t="shared" si="44"/>
        <v>-169758.75949646253</v>
      </c>
    </row>
    <row r="272" spans="1:20" x14ac:dyDescent="0.25">
      <c r="A272" s="111">
        <f>Données!A272</f>
        <v>5885</v>
      </c>
      <c r="B272" s="123" t="str">
        <f>Données!B272</f>
        <v>Jongny</v>
      </c>
      <c r="C272" s="252">
        <f>Données!C272</f>
        <v>1917</v>
      </c>
      <c r="D272" s="249">
        <f>RFS!W272</f>
        <v>7016022.612881707</v>
      </c>
      <c r="E272" s="265"/>
      <c r="F272" s="271">
        <f t="shared" si="36"/>
        <v>3659.8970333237908</v>
      </c>
      <c r="G272" s="265">
        <f t="shared" si="41"/>
        <v>197.16360198488837</v>
      </c>
      <c r="H272" s="272">
        <f t="shared" si="37"/>
        <v>302370.10000402486</v>
      </c>
      <c r="I272" s="244"/>
      <c r="J272" s="236">
        <f t="shared" si="42"/>
        <v>3502.1661517358802</v>
      </c>
      <c r="K272" s="265">
        <f t="shared" si="38"/>
        <v>0</v>
      </c>
      <c r="L272" s="272">
        <f t="shared" si="43"/>
        <v>0</v>
      </c>
      <c r="M272" s="265"/>
      <c r="N272" s="274">
        <f>Données!S272</f>
        <v>249047.3</v>
      </c>
      <c r="O272" s="274">
        <f>Données!T272</f>
        <v>73968.2</v>
      </c>
      <c r="P272" s="274">
        <f>Données!U272</f>
        <v>181952.15</v>
      </c>
      <c r="Q272" s="249">
        <f>Données!V272</f>
        <v>12601.15</v>
      </c>
      <c r="R272" s="236">
        <f t="shared" si="39"/>
        <v>256264.17</v>
      </c>
      <c r="S272" s="253">
        <f t="shared" si="40"/>
        <v>-492046.87833855377</v>
      </c>
      <c r="T272" s="254">
        <f t="shared" si="44"/>
        <v>-235782.70833855376</v>
      </c>
    </row>
    <row r="273" spans="1:20" x14ac:dyDescent="0.25">
      <c r="A273" s="111">
        <f>Données!A273</f>
        <v>5886</v>
      </c>
      <c r="B273" s="123" t="str">
        <f>Données!B273</f>
        <v>Montreux</v>
      </c>
      <c r="C273" s="252">
        <f>Données!C273</f>
        <v>27166</v>
      </c>
      <c r="D273" s="249">
        <f>RFS!W273</f>
        <v>82473808.504657462</v>
      </c>
      <c r="E273" s="265"/>
      <c r="F273" s="271">
        <f t="shared" si="36"/>
        <v>3035.9202129374021</v>
      </c>
      <c r="G273" s="265">
        <f t="shared" si="41"/>
        <v>-426.81321840150031</v>
      </c>
      <c r="H273" s="272">
        <f t="shared" si="37"/>
        <v>-9275846.3128761258</v>
      </c>
      <c r="I273" s="244"/>
      <c r="J273" s="236">
        <f t="shared" si="42"/>
        <v>3377.3707876586022</v>
      </c>
      <c r="K273" s="265">
        <f t="shared" si="38"/>
        <v>0</v>
      </c>
      <c r="L273" s="272">
        <f t="shared" si="43"/>
        <v>0</v>
      </c>
      <c r="M273" s="265"/>
      <c r="N273" s="274">
        <f>Données!S273</f>
        <v>5504068.2999999998</v>
      </c>
      <c r="O273" s="274">
        <f>Données!T273</f>
        <v>13671780.9</v>
      </c>
      <c r="P273" s="274">
        <f>Données!U273</f>
        <v>3641576.8</v>
      </c>
      <c r="Q273" s="249">
        <f>Données!V273</f>
        <v>1494104.25</v>
      </c>
      <c r="R273" s="236">
        <f t="shared" si="39"/>
        <v>11856944.275</v>
      </c>
      <c r="S273" s="253">
        <f t="shared" si="40"/>
        <v>-6972845.8513015918</v>
      </c>
      <c r="T273" s="254">
        <f t="shared" si="44"/>
        <v>4884098.4236984085</v>
      </c>
    </row>
    <row r="274" spans="1:20" x14ac:dyDescent="0.25">
      <c r="A274" s="111">
        <f>Données!A274</f>
        <v>5889</v>
      </c>
      <c r="B274" s="123" t="str">
        <f>Données!B274</f>
        <v>La Tour-de-Peilz</v>
      </c>
      <c r="C274" s="252">
        <f>Données!C274</f>
        <v>13053</v>
      </c>
      <c r="D274" s="249">
        <f>RFS!W274</f>
        <v>51869422.741093241</v>
      </c>
      <c r="E274" s="265"/>
      <c r="F274" s="271">
        <f t="shared" si="36"/>
        <v>3973.7549024050595</v>
      </c>
      <c r="G274" s="265">
        <f t="shared" si="41"/>
        <v>511.02147106615712</v>
      </c>
      <c r="H274" s="272">
        <f t="shared" si="37"/>
        <v>5336290.6094612395</v>
      </c>
      <c r="I274" s="244"/>
      <c r="J274" s="236">
        <f t="shared" si="42"/>
        <v>3564.9377255521335</v>
      </c>
      <c r="K274" s="265">
        <f t="shared" si="38"/>
        <v>0</v>
      </c>
      <c r="L274" s="272">
        <f t="shared" si="43"/>
        <v>0</v>
      </c>
      <c r="M274" s="265"/>
      <c r="N274" s="274">
        <f>Données!S274</f>
        <v>1462156.35</v>
      </c>
      <c r="O274" s="274">
        <f>Données!T274</f>
        <v>1014203.7</v>
      </c>
      <c r="P274" s="274">
        <f>Données!U274</f>
        <v>797220.45</v>
      </c>
      <c r="Q274" s="249">
        <f>Données!V274</f>
        <v>196692.7</v>
      </c>
      <c r="R274" s="236">
        <f t="shared" si="39"/>
        <v>1695798.06</v>
      </c>
      <c r="S274" s="253">
        <f t="shared" si="40"/>
        <v>-3350384.9259014828</v>
      </c>
      <c r="T274" s="254">
        <f t="shared" si="44"/>
        <v>-1654586.8659014828</v>
      </c>
    </row>
    <row r="275" spans="1:20" x14ac:dyDescent="0.25">
      <c r="A275" s="111">
        <f>Données!A275</f>
        <v>5890</v>
      </c>
      <c r="B275" s="123" t="str">
        <f>Données!B275</f>
        <v>Vevey</v>
      </c>
      <c r="C275" s="252">
        <f>Données!C275</f>
        <v>20179</v>
      </c>
      <c r="D275" s="249">
        <f>RFS!W275</f>
        <v>74830316.577053696</v>
      </c>
      <c r="E275" s="265"/>
      <c r="F275" s="271">
        <f t="shared" si="36"/>
        <v>3708.3263083925713</v>
      </c>
      <c r="G275" s="265">
        <f t="shared" si="41"/>
        <v>245.59287705366887</v>
      </c>
      <c r="H275" s="272">
        <f t="shared" si="37"/>
        <v>3964654.9328527874</v>
      </c>
      <c r="I275" s="244"/>
      <c r="J275" s="236">
        <f t="shared" si="42"/>
        <v>3511.8520067496361</v>
      </c>
      <c r="K275" s="265">
        <f t="shared" si="38"/>
        <v>0</v>
      </c>
      <c r="L275" s="272">
        <f t="shared" si="43"/>
        <v>0</v>
      </c>
      <c r="M275" s="265"/>
      <c r="N275" s="274">
        <f>Données!S275</f>
        <v>2340758.6</v>
      </c>
      <c r="O275" s="274">
        <f>Données!T275</f>
        <v>1194139.5</v>
      </c>
      <c r="P275" s="274">
        <f>Données!U275</f>
        <v>1063136.3500000001</v>
      </c>
      <c r="Q275" s="249">
        <f>Données!V275</f>
        <v>872669.7</v>
      </c>
      <c r="R275" s="236">
        <f t="shared" si="39"/>
        <v>2560818.1350000002</v>
      </c>
      <c r="S275" s="253">
        <f t="shared" si="40"/>
        <v>-5179454.333851683</v>
      </c>
      <c r="T275" s="254">
        <f t="shared" si="44"/>
        <v>-2618636.1988516827</v>
      </c>
    </row>
    <row r="276" spans="1:20" x14ac:dyDescent="0.25">
      <c r="A276" s="111">
        <f>Données!A276</f>
        <v>5891</v>
      </c>
      <c r="B276" s="123" t="str">
        <f>Données!B276</f>
        <v>Veytaux</v>
      </c>
      <c r="C276" s="252">
        <f>Données!C276</f>
        <v>1008</v>
      </c>
      <c r="D276" s="249">
        <f>RFS!W276</f>
        <v>2505931.5220807581</v>
      </c>
      <c r="E276" s="265"/>
      <c r="F276" s="271">
        <f t="shared" si="36"/>
        <v>2486.0431766674187</v>
      </c>
      <c r="G276" s="265">
        <f t="shared" si="41"/>
        <v>-976.69025467148367</v>
      </c>
      <c r="H276" s="272">
        <f t="shared" si="37"/>
        <v>-787603.02136708447</v>
      </c>
      <c r="I276" s="244"/>
      <c r="J276" s="236">
        <f t="shared" si="42"/>
        <v>3267.3953804046059</v>
      </c>
      <c r="K276" s="265">
        <f t="shared" si="38"/>
        <v>0</v>
      </c>
      <c r="L276" s="272">
        <f t="shared" si="43"/>
        <v>0</v>
      </c>
      <c r="M276" s="265"/>
      <c r="N276" s="274">
        <f>Données!S276</f>
        <v>129744.9</v>
      </c>
      <c r="O276" s="274">
        <f>Données!T276</f>
        <v>0</v>
      </c>
      <c r="P276" s="274">
        <f>Données!U276</f>
        <v>29939.55</v>
      </c>
      <c r="Q276" s="249">
        <f>Données!V276</f>
        <v>12999.6</v>
      </c>
      <c r="R276" s="236">
        <f t="shared" si="39"/>
        <v>83742.104999999996</v>
      </c>
      <c r="S276" s="253">
        <f t="shared" si="40"/>
        <v>-258728.8749949203</v>
      </c>
      <c r="T276" s="254">
        <f t="shared" si="44"/>
        <v>-174986.76999492029</v>
      </c>
    </row>
    <row r="277" spans="1:20" x14ac:dyDescent="0.25">
      <c r="A277" s="111">
        <f>Données!A277</f>
        <v>5892</v>
      </c>
      <c r="B277" s="123" t="str">
        <f>Données!B277</f>
        <v>Blonay-Saint-Légier</v>
      </c>
      <c r="C277" s="252">
        <f>Données!C277</f>
        <v>12597</v>
      </c>
      <c r="D277" s="249">
        <f>RFS!W277</f>
        <v>50377599.142936446</v>
      </c>
      <c r="E277" s="265"/>
      <c r="F277" s="271">
        <f t="shared" si="36"/>
        <v>3999.1743385676309</v>
      </c>
      <c r="G277" s="265">
        <f t="shared" si="41"/>
        <v>536.44090722872852</v>
      </c>
      <c r="H277" s="272">
        <f t="shared" si="37"/>
        <v>5406036.8866882343</v>
      </c>
      <c r="I277" s="244"/>
      <c r="J277" s="236">
        <f t="shared" si="42"/>
        <v>3570.0216127846484</v>
      </c>
      <c r="K277" s="265">
        <f t="shared" si="38"/>
        <v>0</v>
      </c>
      <c r="L277" s="272">
        <f t="shared" si="43"/>
        <v>0</v>
      </c>
      <c r="M277" s="265"/>
      <c r="N277" s="274">
        <f>Données!S277</f>
        <v>2097121.75</v>
      </c>
      <c r="O277" s="274">
        <f>Données!T277</f>
        <v>34936448.399999999</v>
      </c>
      <c r="P277" s="274">
        <f>Données!U277</f>
        <v>1927383.4</v>
      </c>
      <c r="Q277" s="249">
        <f>Données!V277</f>
        <v>363325.4</v>
      </c>
      <c r="R277" s="236">
        <f t="shared" si="39"/>
        <v>19589474.395</v>
      </c>
      <c r="S277" s="253">
        <f t="shared" si="40"/>
        <v>-3233340.9110228284</v>
      </c>
      <c r="T277" s="254">
        <f t="shared" si="44"/>
        <v>16356133.483977171</v>
      </c>
    </row>
    <row r="278" spans="1:20" x14ac:dyDescent="0.25">
      <c r="A278" s="111">
        <f>Données!A278</f>
        <v>5902</v>
      </c>
      <c r="B278" s="123" t="str">
        <f>Données!B278</f>
        <v>Belmont-sur-Yverdon</v>
      </c>
      <c r="C278" s="252">
        <f>Données!C278</f>
        <v>457</v>
      </c>
      <c r="D278" s="249">
        <f>RFS!W278</f>
        <v>759078.29226075881</v>
      </c>
      <c r="E278" s="265"/>
      <c r="F278" s="271">
        <f t="shared" si="36"/>
        <v>1661.0028277040674</v>
      </c>
      <c r="G278" s="265">
        <f t="shared" si="41"/>
        <v>-1801.730603634835</v>
      </c>
      <c r="H278" s="272">
        <f t="shared" si="37"/>
        <v>-658712.70868889568</v>
      </c>
      <c r="I278" s="244"/>
      <c r="J278" s="236">
        <f t="shared" si="42"/>
        <v>3102.3873106119354</v>
      </c>
      <c r="K278" s="265">
        <f t="shared" si="38"/>
        <v>-14.072777593076808</v>
      </c>
      <c r="L278" s="272">
        <f t="shared" si="43"/>
        <v>-6431</v>
      </c>
      <c r="M278" s="265"/>
      <c r="N278" s="274">
        <f>Données!S278</f>
        <v>51921.15</v>
      </c>
      <c r="O278" s="274">
        <f>Données!T278</f>
        <v>87</v>
      </c>
      <c r="P278" s="274">
        <f>Données!U278</f>
        <v>7799.6</v>
      </c>
      <c r="Q278" s="249">
        <f>Données!V278</f>
        <v>0</v>
      </c>
      <c r="R278" s="236">
        <f t="shared" si="39"/>
        <v>29903.875</v>
      </c>
      <c r="S278" s="253">
        <f t="shared" si="40"/>
        <v>-117300.69034987954</v>
      </c>
      <c r="T278" s="254">
        <f t="shared" si="44"/>
        <v>-87396.815349879544</v>
      </c>
    </row>
    <row r="279" spans="1:20" x14ac:dyDescent="0.25">
      <c r="A279" s="111">
        <f>Données!A279</f>
        <v>5903</v>
      </c>
      <c r="B279" s="123" t="str">
        <f>Données!B279</f>
        <v>Bioley-Magnoux</v>
      </c>
      <c r="C279" s="252">
        <f>Données!C279</f>
        <v>252</v>
      </c>
      <c r="D279" s="249">
        <f>RFS!W279</f>
        <v>444100.21713434643</v>
      </c>
      <c r="E279" s="265"/>
      <c r="F279" s="271">
        <f t="shared" si="36"/>
        <v>1762.3024489458192</v>
      </c>
      <c r="G279" s="265">
        <f t="shared" si="41"/>
        <v>-1700.4309823930832</v>
      </c>
      <c r="H279" s="272">
        <f t="shared" si="37"/>
        <v>-342806.88605044561</v>
      </c>
      <c r="I279" s="244"/>
      <c r="J279" s="236">
        <f t="shared" si="42"/>
        <v>3122.6472348602856</v>
      </c>
      <c r="K279" s="265">
        <f t="shared" si="38"/>
        <v>0</v>
      </c>
      <c r="L279" s="272">
        <f t="shared" si="43"/>
        <v>0</v>
      </c>
      <c r="M279" s="265"/>
      <c r="N279" s="274">
        <f>Données!S279</f>
        <v>26963.85</v>
      </c>
      <c r="O279" s="274">
        <f>Données!T279</f>
        <v>34.5</v>
      </c>
      <c r="P279" s="274">
        <f>Données!U279</f>
        <v>20594.05</v>
      </c>
      <c r="Q279" s="249">
        <f>Données!V279</f>
        <v>29976.1</v>
      </c>
      <c r="R279" s="236">
        <f t="shared" si="39"/>
        <v>32789.03</v>
      </c>
      <c r="S279" s="253">
        <f t="shared" si="40"/>
        <v>-64682.218748730076</v>
      </c>
      <c r="T279" s="254">
        <f t="shared" si="44"/>
        <v>-31893.188748730077</v>
      </c>
    </row>
    <row r="280" spans="1:20" x14ac:dyDescent="0.25">
      <c r="A280" s="111">
        <f>Données!A280</f>
        <v>5904</v>
      </c>
      <c r="B280" s="123" t="str">
        <f>Données!B280</f>
        <v>Chamblon</v>
      </c>
      <c r="C280" s="252">
        <f>Données!C280</f>
        <v>558</v>
      </c>
      <c r="D280" s="249">
        <f>RFS!W280</f>
        <v>1487321.7771216298</v>
      </c>
      <c r="E280" s="265"/>
      <c r="F280" s="271">
        <f t="shared" si="36"/>
        <v>2665.4512134796232</v>
      </c>
      <c r="G280" s="265">
        <f t="shared" si="41"/>
        <v>-797.28221785927917</v>
      </c>
      <c r="H280" s="272">
        <f t="shared" si="37"/>
        <v>-355906.78205238224</v>
      </c>
      <c r="I280" s="244"/>
      <c r="J280" s="236">
        <f t="shared" si="42"/>
        <v>3303.2769877670466</v>
      </c>
      <c r="K280" s="265">
        <f t="shared" si="38"/>
        <v>0</v>
      </c>
      <c r="L280" s="272">
        <f t="shared" si="43"/>
        <v>0</v>
      </c>
      <c r="M280" s="265"/>
      <c r="N280" s="274">
        <f>Données!S280</f>
        <v>43666.2</v>
      </c>
      <c r="O280" s="274">
        <f>Données!T280</f>
        <v>0</v>
      </c>
      <c r="P280" s="274">
        <f>Données!U280</f>
        <v>48443.199999999997</v>
      </c>
      <c r="Q280" s="249">
        <f>Données!V280</f>
        <v>75667.199999999997</v>
      </c>
      <c r="R280" s="236">
        <f t="shared" si="39"/>
        <v>68754.86</v>
      </c>
      <c r="S280" s="253">
        <f t="shared" si="40"/>
        <v>-143224.9129436166</v>
      </c>
      <c r="T280" s="254">
        <f t="shared" si="44"/>
        <v>-74470.052943616596</v>
      </c>
    </row>
    <row r="281" spans="1:20" x14ac:dyDescent="0.25">
      <c r="A281" s="111">
        <f>Données!A281</f>
        <v>5905</v>
      </c>
      <c r="B281" s="123" t="str">
        <f>Données!B281</f>
        <v>Champvent</v>
      </c>
      <c r="C281" s="252">
        <f>Données!C281</f>
        <v>692</v>
      </c>
      <c r="D281" s="249">
        <f>RFS!W281</f>
        <v>1160006.1910771537</v>
      </c>
      <c r="E281" s="265"/>
      <c r="F281" s="271">
        <f t="shared" si="36"/>
        <v>1676.3095246779678</v>
      </c>
      <c r="G281" s="265">
        <f t="shared" si="41"/>
        <v>-1786.4239066609346</v>
      </c>
      <c r="H281" s="272">
        <f t="shared" si="37"/>
        <v>-988964.27472749341</v>
      </c>
      <c r="I281" s="244"/>
      <c r="J281" s="236">
        <f t="shared" si="42"/>
        <v>3105.4486500067155</v>
      </c>
      <c r="K281" s="265">
        <f t="shared" si="38"/>
        <v>-11.011438198296673</v>
      </c>
      <c r="L281" s="272">
        <f t="shared" si="43"/>
        <v>-7620</v>
      </c>
      <c r="M281" s="265"/>
      <c r="N281" s="274">
        <f>Données!S281</f>
        <v>7115.05</v>
      </c>
      <c r="O281" s="274">
        <f>Données!T281</f>
        <v>0</v>
      </c>
      <c r="P281" s="274">
        <f>Données!U281</f>
        <v>183.75</v>
      </c>
      <c r="Q281" s="249">
        <f>Données!V281</f>
        <v>174126.25</v>
      </c>
      <c r="R281" s="236">
        <f t="shared" si="39"/>
        <v>55887.275000000001</v>
      </c>
      <c r="S281" s="253">
        <f t="shared" si="40"/>
        <v>-177619.42608778257</v>
      </c>
      <c r="T281" s="254">
        <f t="shared" si="44"/>
        <v>-121732.15108778258</v>
      </c>
    </row>
    <row r="282" spans="1:20" x14ac:dyDescent="0.25">
      <c r="A282" s="111">
        <f>Données!A282</f>
        <v>5907</v>
      </c>
      <c r="B282" s="123" t="str">
        <f>Données!B282</f>
        <v>Chavannes-le-Chêne</v>
      </c>
      <c r="C282" s="252">
        <f>Données!C282</f>
        <v>329</v>
      </c>
      <c r="D282" s="249">
        <f>RFS!W282</f>
        <v>563584.76846689032</v>
      </c>
      <c r="E282" s="265"/>
      <c r="F282" s="271">
        <f t="shared" si="36"/>
        <v>1713.0236123613688</v>
      </c>
      <c r="G282" s="265">
        <f>F282-$F$308</f>
        <v>-1749.7098189775336</v>
      </c>
      <c r="H282" s="272">
        <f t="shared" si="37"/>
        <v>-460523.62435488688</v>
      </c>
      <c r="I282" s="244"/>
      <c r="J282" s="236">
        <f t="shared" si="42"/>
        <v>3112.7914675433954</v>
      </c>
      <c r="K282" s="265">
        <f t="shared" si="38"/>
        <v>-3.668620661616842</v>
      </c>
      <c r="L282" s="272">
        <f t="shared" si="43"/>
        <v>-1207</v>
      </c>
      <c r="M282" s="265"/>
      <c r="N282" s="274">
        <f>Données!S282</f>
        <v>4235</v>
      </c>
      <c r="O282" s="274">
        <f>Données!T282</f>
        <v>0</v>
      </c>
      <c r="P282" s="274">
        <f>Données!U282</f>
        <v>9829.15</v>
      </c>
      <c r="Q282" s="249">
        <f>Données!V282</f>
        <v>4879.8</v>
      </c>
      <c r="R282" s="236">
        <f t="shared" si="39"/>
        <v>8496.0149999999994</v>
      </c>
      <c r="S282" s="253">
        <f t="shared" si="40"/>
        <v>-84446.230033064261</v>
      </c>
      <c r="T282" s="254">
        <f t="shared" si="44"/>
        <v>-75950.215033064262</v>
      </c>
    </row>
    <row r="283" spans="1:20" x14ac:dyDescent="0.25">
      <c r="A283" s="111">
        <f>Données!A283</f>
        <v>5908</v>
      </c>
      <c r="B283" s="123" t="str">
        <f>Données!B283</f>
        <v>Chêne-Pâquier</v>
      </c>
      <c r="C283" s="252">
        <f>Données!C283</f>
        <v>172</v>
      </c>
      <c r="D283" s="249">
        <f>RFS!W283</f>
        <v>296600.59929723496</v>
      </c>
      <c r="E283" s="265"/>
      <c r="F283" s="271">
        <f t="shared" si="36"/>
        <v>1724.4220889374126</v>
      </c>
      <c r="G283" s="265">
        <f t="shared" si="41"/>
        <v>-1738.3113424014898</v>
      </c>
      <c r="H283" s="272">
        <f t="shared" si="37"/>
        <v>-239191.64071444503</v>
      </c>
      <c r="I283" s="244"/>
      <c r="J283" s="236">
        <f t="shared" si="42"/>
        <v>3115.0711628586041</v>
      </c>
      <c r="K283" s="265">
        <f t="shared" si="38"/>
        <v>-1.3889253464080866</v>
      </c>
      <c r="L283" s="272">
        <f t="shared" si="43"/>
        <v>-239</v>
      </c>
      <c r="M283" s="265"/>
      <c r="N283" s="274">
        <f>Données!S283</f>
        <v>1782.6</v>
      </c>
      <c r="O283" s="274">
        <f>Données!T283</f>
        <v>0</v>
      </c>
      <c r="P283" s="274">
        <f>Données!U283</f>
        <v>505.55</v>
      </c>
      <c r="Q283" s="249">
        <f>Données!V283</f>
        <v>0</v>
      </c>
      <c r="R283" s="236">
        <f t="shared" si="39"/>
        <v>1144.075</v>
      </c>
      <c r="S283" s="253">
        <f t="shared" si="40"/>
        <v>-44148.181050720523</v>
      </c>
      <c r="T283" s="254">
        <f t="shared" si="44"/>
        <v>-43004.106050720526</v>
      </c>
    </row>
    <row r="284" spans="1:20" x14ac:dyDescent="0.25">
      <c r="A284" s="111">
        <f>Données!A284</f>
        <v>5909</v>
      </c>
      <c r="B284" s="123" t="str">
        <f>Données!B284</f>
        <v>Cheseaux-Noréaz</v>
      </c>
      <c r="C284" s="252">
        <f>Données!C284</f>
        <v>745</v>
      </c>
      <c r="D284" s="249">
        <f>RFS!W284</f>
        <v>2344175.1488702595</v>
      </c>
      <c r="E284" s="265"/>
      <c r="F284" s="271">
        <f t="shared" si="36"/>
        <v>3146.5438239869254</v>
      </c>
      <c r="G284" s="265">
        <f t="shared" si="41"/>
        <v>-316.18960735197697</v>
      </c>
      <c r="H284" s="272">
        <f t="shared" si="37"/>
        <v>-188449.00598177829</v>
      </c>
      <c r="I284" s="244"/>
      <c r="J284" s="236">
        <f t="shared" si="42"/>
        <v>3399.4955098685073</v>
      </c>
      <c r="K284" s="265">
        <f t="shared" si="38"/>
        <v>0</v>
      </c>
      <c r="L284" s="272">
        <f t="shared" si="43"/>
        <v>0</v>
      </c>
      <c r="M284" s="265"/>
      <c r="N284" s="274">
        <f>Données!S284</f>
        <v>83798</v>
      </c>
      <c r="O284" s="274">
        <f>Données!T284</f>
        <v>54344.1</v>
      </c>
      <c r="P284" s="274">
        <f>Données!U284</f>
        <v>59742.9</v>
      </c>
      <c r="Q284" s="249">
        <f>Données!V284</f>
        <v>12754.4</v>
      </c>
      <c r="R284" s="236">
        <f t="shared" si="39"/>
        <v>102768.82</v>
      </c>
      <c r="S284" s="253">
        <f t="shared" si="40"/>
        <v>-191223.22606271392</v>
      </c>
      <c r="T284" s="254">
        <f t="shared" si="44"/>
        <v>-88454.406062713912</v>
      </c>
    </row>
    <row r="285" spans="1:20" x14ac:dyDescent="0.25">
      <c r="A285" s="111">
        <f>Données!A285</f>
        <v>5910</v>
      </c>
      <c r="B285" s="123" t="str">
        <f>Données!B285</f>
        <v>Cronay</v>
      </c>
      <c r="C285" s="252">
        <f>Données!C285</f>
        <v>432</v>
      </c>
      <c r="D285" s="249">
        <f>RFS!W285</f>
        <v>685389.52305493341</v>
      </c>
      <c r="E285" s="265"/>
      <c r="F285" s="271">
        <f t="shared" si="36"/>
        <v>1586.54982188642</v>
      </c>
      <c r="G285" s="265">
        <f t="shared" si="41"/>
        <v>-1876.1836094524824</v>
      </c>
      <c r="H285" s="272">
        <f t="shared" si="37"/>
        <v>-648409.05542677792</v>
      </c>
      <c r="I285" s="244"/>
      <c r="J285" s="236">
        <f t="shared" si="42"/>
        <v>3087.4967094484059</v>
      </c>
      <c r="K285" s="265">
        <f t="shared" si="38"/>
        <v>-28.963378756606289</v>
      </c>
      <c r="L285" s="272">
        <f t="shared" si="43"/>
        <v>-12512</v>
      </c>
      <c r="M285" s="265"/>
      <c r="N285" s="274">
        <f>Données!S285</f>
        <v>11550</v>
      </c>
      <c r="O285" s="274">
        <f>Données!T285</f>
        <v>0</v>
      </c>
      <c r="P285" s="274">
        <f>Données!U285</f>
        <v>50911.65</v>
      </c>
      <c r="Q285" s="249">
        <f>Données!V285</f>
        <v>0</v>
      </c>
      <c r="R285" s="236">
        <f t="shared" si="39"/>
        <v>31230.825000000001</v>
      </c>
      <c r="S285" s="253">
        <f t="shared" si="40"/>
        <v>-110883.80356925156</v>
      </c>
      <c r="T285" s="254">
        <f t="shared" si="44"/>
        <v>-79652.978569251558</v>
      </c>
    </row>
    <row r="286" spans="1:20" x14ac:dyDescent="0.25">
      <c r="A286" s="111">
        <f>Données!A286</f>
        <v>5911</v>
      </c>
      <c r="B286" s="123" t="str">
        <f>Données!B286</f>
        <v>Cuarny</v>
      </c>
      <c r="C286" s="252">
        <f>Données!C286</f>
        <v>244</v>
      </c>
      <c r="D286" s="249">
        <f>RFS!W286</f>
        <v>481807.13549031515</v>
      </c>
      <c r="E286" s="265"/>
      <c r="F286" s="271">
        <f t="shared" si="36"/>
        <v>1974.6194077471932</v>
      </c>
      <c r="G286" s="265">
        <f t="shared" si="41"/>
        <v>-1488.1140235917092</v>
      </c>
      <c r="H286" s="272">
        <f t="shared" si="37"/>
        <v>-290479.85740510165</v>
      </c>
      <c r="I286" s="244"/>
      <c r="J286" s="236">
        <f t="shared" si="42"/>
        <v>3165.1106266205607</v>
      </c>
      <c r="K286" s="265">
        <f t="shared" si="38"/>
        <v>0</v>
      </c>
      <c r="L286" s="272">
        <f t="shared" si="43"/>
        <v>0</v>
      </c>
      <c r="M286" s="265"/>
      <c r="N286" s="274">
        <f>Données!S286</f>
        <v>10285</v>
      </c>
      <c r="O286" s="274">
        <f>Données!T286</f>
        <v>0</v>
      </c>
      <c r="P286" s="274">
        <f>Données!U286</f>
        <v>0</v>
      </c>
      <c r="Q286" s="249">
        <f>Données!V286</f>
        <v>0</v>
      </c>
      <c r="R286" s="236">
        <f t="shared" si="39"/>
        <v>5142.5</v>
      </c>
      <c r="S286" s="253">
        <f t="shared" si="40"/>
        <v>-62628.81497892912</v>
      </c>
      <c r="T286" s="254">
        <f t="shared" si="44"/>
        <v>-57486.31497892912</v>
      </c>
    </row>
    <row r="287" spans="1:20" x14ac:dyDescent="0.25">
      <c r="A287" s="111">
        <f>Données!A287</f>
        <v>5912</v>
      </c>
      <c r="B287" s="123" t="str">
        <f>Données!B287</f>
        <v>Démoret</v>
      </c>
      <c r="C287" s="252">
        <f>Données!C287</f>
        <v>181</v>
      </c>
      <c r="D287" s="249">
        <f>RFS!W287</f>
        <v>308283.86234241194</v>
      </c>
      <c r="E287" s="265"/>
      <c r="F287" s="271">
        <f t="shared" si="36"/>
        <v>1703.2257587978561</v>
      </c>
      <c r="G287" s="265">
        <f t="shared" si="41"/>
        <v>-1759.5076725410463</v>
      </c>
      <c r="H287" s="272">
        <f t="shared" si="37"/>
        <v>-254776.71098394354</v>
      </c>
      <c r="I287" s="244"/>
      <c r="J287" s="236">
        <f t="shared" si="42"/>
        <v>3110.8318968306935</v>
      </c>
      <c r="K287" s="265">
        <f t="shared" si="38"/>
        <v>-5.6281913743187033</v>
      </c>
      <c r="L287" s="272">
        <f t="shared" si="43"/>
        <v>-1019</v>
      </c>
      <c r="M287" s="265"/>
      <c r="N287" s="274">
        <f>Données!S287</f>
        <v>8580</v>
      </c>
      <c r="O287" s="274">
        <f>Données!T287</f>
        <v>0</v>
      </c>
      <c r="P287" s="274">
        <f>Données!U287</f>
        <v>9685.2999999999993</v>
      </c>
      <c r="Q287" s="249">
        <f>Données!V287</f>
        <v>0</v>
      </c>
      <c r="R287" s="236">
        <f t="shared" si="39"/>
        <v>9132.65</v>
      </c>
      <c r="S287" s="253">
        <f t="shared" si="40"/>
        <v>-46458.260291746599</v>
      </c>
      <c r="T287" s="254">
        <f t="shared" si="44"/>
        <v>-37325.610291746598</v>
      </c>
    </row>
    <row r="288" spans="1:20" x14ac:dyDescent="0.25">
      <c r="A288" s="111">
        <f>Données!A288</f>
        <v>5913</v>
      </c>
      <c r="B288" s="123" t="str">
        <f>Données!B288</f>
        <v>Donneloye</v>
      </c>
      <c r="C288" s="252">
        <f>Données!C288</f>
        <v>905</v>
      </c>
      <c r="D288" s="249">
        <f>RFS!W288</f>
        <v>1542804.275005708</v>
      </c>
      <c r="E288" s="265"/>
      <c r="F288" s="271">
        <f t="shared" si="36"/>
        <v>1704.7561049786827</v>
      </c>
      <c r="G288" s="265">
        <f t="shared" si="41"/>
        <v>-1757.9773263602196</v>
      </c>
      <c r="H288" s="272">
        <f t="shared" si="37"/>
        <v>-1272775.5842847992</v>
      </c>
      <c r="I288" s="244"/>
      <c r="J288" s="236">
        <f t="shared" si="42"/>
        <v>3111.1379660668586</v>
      </c>
      <c r="K288" s="265">
        <f t="shared" si="38"/>
        <v>-5.3221221381536452</v>
      </c>
      <c r="L288" s="272">
        <f t="shared" si="43"/>
        <v>-4817</v>
      </c>
      <c r="M288" s="265"/>
      <c r="N288" s="274">
        <f>Données!S288</f>
        <v>30121.85</v>
      </c>
      <c r="O288" s="274">
        <f>Données!T288</f>
        <v>55799</v>
      </c>
      <c r="P288" s="274">
        <f>Données!U288</f>
        <v>34681</v>
      </c>
      <c r="Q288" s="249">
        <f>Données!V288</f>
        <v>15784.65</v>
      </c>
      <c r="R288" s="236">
        <f t="shared" si="39"/>
        <v>65036.32</v>
      </c>
      <c r="S288" s="253">
        <f t="shared" si="40"/>
        <v>-232291.30145873301</v>
      </c>
      <c r="T288" s="254">
        <f t="shared" si="44"/>
        <v>-167254.981458733</v>
      </c>
    </row>
    <row r="289" spans="1:20" x14ac:dyDescent="0.25">
      <c r="A289" s="111">
        <f>Données!A289</f>
        <v>5914</v>
      </c>
      <c r="B289" s="123" t="str">
        <f>Données!B289</f>
        <v>Ependes</v>
      </c>
      <c r="C289" s="252">
        <f>Données!C289</f>
        <v>376</v>
      </c>
      <c r="D289" s="249">
        <f>RFS!W289</f>
        <v>662197.29891490738</v>
      </c>
      <c r="E289" s="265"/>
      <c r="F289" s="271">
        <f t="shared" si="36"/>
        <v>1761.1630290290091</v>
      </c>
      <c r="G289" s="265">
        <f t="shared" si="41"/>
        <v>-1701.5704023098933</v>
      </c>
      <c r="H289" s="272">
        <f t="shared" si="37"/>
        <v>-511832.37701481592</v>
      </c>
      <c r="I289" s="244"/>
      <c r="J289" s="236">
        <f t="shared" si="42"/>
        <v>3122.4193508769235</v>
      </c>
      <c r="K289" s="265">
        <f t="shared" si="38"/>
        <v>0</v>
      </c>
      <c r="L289" s="272">
        <f t="shared" si="43"/>
        <v>0</v>
      </c>
      <c r="M289" s="265"/>
      <c r="N289" s="274">
        <f>Données!S289</f>
        <v>47790.9</v>
      </c>
      <c r="O289" s="274">
        <f>Données!T289</f>
        <v>1226.4000000000001</v>
      </c>
      <c r="P289" s="274">
        <f>Données!U289</f>
        <v>59599.15</v>
      </c>
      <c r="Q289" s="249">
        <f>Données!V289</f>
        <v>62699.85</v>
      </c>
      <c r="R289" s="236">
        <f t="shared" si="39"/>
        <v>73118.180000000008</v>
      </c>
      <c r="S289" s="253">
        <f t="shared" si="40"/>
        <v>-96509.97718064487</v>
      </c>
      <c r="T289" s="254">
        <f t="shared" si="44"/>
        <v>-23391.797180644862</v>
      </c>
    </row>
    <row r="290" spans="1:20" x14ac:dyDescent="0.25">
      <c r="A290" s="111">
        <f>Données!A290</f>
        <v>5919</v>
      </c>
      <c r="B290" s="123" t="str">
        <f>Données!B290</f>
        <v>Mathod</v>
      </c>
      <c r="C290" s="252">
        <f>Données!C290</f>
        <v>740</v>
      </c>
      <c r="D290" s="249">
        <f>RFS!W290</f>
        <v>1577283.6487182113</v>
      </c>
      <c r="E290" s="265"/>
      <c r="F290" s="271">
        <f t="shared" si="36"/>
        <v>2131.4643901597451</v>
      </c>
      <c r="G290" s="265">
        <f t="shared" si="41"/>
        <v>-1331.2690411791573</v>
      </c>
      <c r="H290" s="272">
        <f t="shared" si="37"/>
        <v>-788111.27237806108</v>
      </c>
      <c r="I290" s="244"/>
      <c r="J290" s="236">
        <f t="shared" si="42"/>
        <v>3196.4796231030705</v>
      </c>
      <c r="K290" s="265">
        <f t="shared" si="38"/>
        <v>0</v>
      </c>
      <c r="L290" s="272">
        <f t="shared" si="43"/>
        <v>0</v>
      </c>
      <c r="M290" s="265"/>
      <c r="N290" s="274">
        <f>Données!S290</f>
        <v>91075.45</v>
      </c>
      <c r="O290" s="274">
        <f>Données!T290</f>
        <v>78501.2</v>
      </c>
      <c r="P290" s="274">
        <f>Données!U290</f>
        <v>20223.55</v>
      </c>
      <c r="Q290" s="249">
        <f>Données!V290</f>
        <v>45413.2</v>
      </c>
      <c r="R290" s="236">
        <f t="shared" si="39"/>
        <v>108524.06</v>
      </c>
      <c r="S290" s="253">
        <f t="shared" si="40"/>
        <v>-189939.84870658832</v>
      </c>
      <c r="T290" s="254">
        <f t="shared" si="44"/>
        <v>-81415.788706588326</v>
      </c>
    </row>
    <row r="291" spans="1:20" x14ac:dyDescent="0.25">
      <c r="A291" s="111">
        <f>Données!A291</f>
        <v>5921</v>
      </c>
      <c r="B291" s="123" t="str">
        <f>Données!B291</f>
        <v>Molondin</v>
      </c>
      <c r="C291" s="252">
        <f>Données!C291</f>
        <v>260</v>
      </c>
      <c r="D291" s="249">
        <f>RFS!W291</f>
        <v>457111.48588810867</v>
      </c>
      <c r="E291" s="265"/>
      <c r="F291" s="271">
        <f t="shared" si="36"/>
        <v>1758.1210995696488</v>
      </c>
      <c r="G291" s="265">
        <f t="shared" si="41"/>
        <v>-1704.6123317692536</v>
      </c>
      <c r="H291" s="272">
        <f t="shared" si="37"/>
        <v>-354559.36500800477</v>
      </c>
      <c r="I291" s="244"/>
      <c r="J291" s="236">
        <f t="shared" si="42"/>
        <v>3121.8109649850517</v>
      </c>
      <c r="K291" s="265">
        <f t="shared" si="38"/>
        <v>0</v>
      </c>
      <c r="L291" s="272">
        <f t="shared" si="43"/>
        <v>0</v>
      </c>
      <c r="M291" s="265"/>
      <c r="N291" s="274">
        <f>Données!S291</f>
        <v>25320.5</v>
      </c>
      <c r="O291" s="274">
        <f>Données!T291</f>
        <v>1845</v>
      </c>
      <c r="P291" s="274">
        <f>Données!U291</f>
        <v>33710.65</v>
      </c>
      <c r="Q291" s="249">
        <f>Données!V291</f>
        <v>5872.95</v>
      </c>
      <c r="R291" s="236">
        <f t="shared" si="39"/>
        <v>32199.96</v>
      </c>
      <c r="S291" s="253">
        <f t="shared" si="40"/>
        <v>-66735.622518531032</v>
      </c>
      <c r="T291" s="254">
        <f t="shared" si="44"/>
        <v>-34535.662518531033</v>
      </c>
    </row>
    <row r="292" spans="1:20" x14ac:dyDescent="0.25">
      <c r="A292" s="111">
        <f>Données!A292</f>
        <v>5922</v>
      </c>
      <c r="B292" s="123" t="str">
        <f>Données!B292</f>
        <v>Montagny-près-Yverdon</v>
      </c>
      <c r="C292" s="252">
        <f>Données!C292</f>
        <v>768</v>
      </c>
      <c r="D292" s="249">
        <f>RFS!W292</f>
        <v>2693196.9206689601</v>
      </c>
      <c r="E292" s="265"/>
      <c r="F292" s="271">
        <f t="shared" si="36"/>
        <v>3506.7668237877083</v>
      </c>
      <c r="G292" s="265">
        <f t="shared" si="41"/>
        <v>44.033392448805898</v>
      </c>
      <c r="H292" s="272">
        <f t="shared" si="37"/>
        <v>27054.116320546345</v>
      </c>
      <c r="I292" s="244"/>
      <c r="J292" s="236">
        <f t="shared" si="42"/>
        <v>3471.5401098286638</v>
      </c>
      <c r="K292" s="265">
        <f t="shared" si="38"/>
        <v>0</v>
      </c>
      <c r="L292" s="272">
        <f t="shared" si="43"/>
        <v>0</v>
      </c>
      <c r="M292" s="265"/>
      <c r="N292" s="274">
        <f>Données!S292</f>
        <v>95533.85</v>
      </c>
      <c r="O292" s="274">
        <f>Données!T292</f>
        <v>51876</v>
      </c>
      <c r="P292" s="274">
        <f>Données!U292</f>
        <v>67212.75</v>
      </c>
      <c r="Q292" s="249">
        <f>Données!V292</f>
        <v>524935.94999999995</v>
      </c>
      <c r="R292" s="236">
        <f t="shared" si="39"/>
        <v>264792.08499999996</v>
      </c>
      <c r="S292" s="253">
        <f t="shared" si="40"/>
        <v>-197126.76190089167</v>
      </c>
      <c r="T292" s="254">
        <f t="shared" si="44"/>
        <v>67665.323099108296</v>
      </c>
    </row>
    <row r="293" spans="1:20" x14ac:dyDescent="0.25">
      <c r="A293" s="111">
        <f>Données!A293</f>
        <v>5923</v>
      </c>
      <c r="B293" s="123" t="str">
        <f>Données!B293</f>
        <v>Oppens</v>
      </c>
      <c r="C293" s="252">
        <f>Données!C293</f>
        <v>201</v>
      </c>
      <c r="D293" s="249">
        <f>RFS!W293</f>
        <v>373805.23971984017</v>
      </c>
      <c r="E293" s="265"/>
      <c r="F293" s="271">
        <f t="shared" si="36"/>
        <v>1859.7275607952247</v>
      </c>
      <c r="G293" s="265">
        <f t="shared" si="41"/>
        <v>-1603.0058705436777</v>
      </c>
      <c r="H293" s="272">
        <f t="shared" si="37"/>
        <v>-257763.3439834234</v>
      </c>
      <c r="I293" s="244"/>
      <c r="J293" s="236">
        <f t="shared" si="42"/>
        <v>3142.1322572301669</v>
      </c>
      <c r="K293" s="265">
        <f t="shared" si="38"/>
        <v>0</v>
      </c>
      <c r="L293" s="272">
        <f t="shared" si="43"/>
        <v>0</v>
      </c>
      <c r="M293" s="265"/>
      <c r="N293" s="274">
        <f>Données!S293</f>
        <v>9642.6</v>
      </c>
      <c r="O293" s="274">
        <f>Données!T293</f>
        <v>0</v>
      </c>
      <c r="P293" s="274">
        <f>Données!U293</f>
        <v>0</v>
      </c>
      <c r="Q293" s="249">
        <f>Données!V293</f>
        <v>29797.55</v>
      </c>
      <c r="R293" s="236">
        <f t="shared" si="39"/>
        <v>13760.564999999999</v>
      </c>
      <c r="S293" s="253">
        <f t="shared" si="40"/>
        <v>-51591.769716248986</v>
      </c>
      <c r="T293" s="254">
        <f t="shared" si="44"/>
        <v>-37831.204716248991</v>
      </c>
    </row>
    <row r="294" spans="1:20" x14ac:dyDescent="0.25">
      <c r="A294" s="111">
        <f>Données!A294</f>
        <v>5924</v>
      </c>
      <c r="B294" s="123" t="str">
        <f>Données!B294</f>
        <v>Orges</v>
      </c>
      <c r="C294" s="252">
        <f>Données!C294</f>
        <v>416</v>
      </c>
      <c r="D294" s="249">
        <f>RFS!W294</f>
        <v>1111141.2155297718</v>
      </c>
      <c r="E294" s="265"/>
      <c r="F294" s="271">
        <f t="shared" si="36"/>
        <v>2671.0125373311821</v>
      </c>
      <c r="G294" s="265">
        <f t="shared" si="41"/>
        <v>-791.72089400772029</v>
      </c>
      <c r="H294" s="272">
        <f t="shared" si="37"/>
        <v>-263484.71352576936</v>
      </c>
      <c r="I294" s="244"/>
      <c r="J294" s="236">
        <f t="shared" si="42"/>
        <v>3304.3892525373585</v>
      </c>
      <c r="K294" s="265">
        <f t="shared" si="38"/>
        <v>0</v>
      </c>
      <c r="L294" s="272">
        <f t="shared" si="43"/>
        <v>0</v>
      </c>
      <c r="M294" s="265"/>
      <c r="N294" s="274">
        <f>Données!S294</f>
        <v>59993.4</v>
      </c>
      <c r="O294" s="274">
        <f>Données!T294</f>
        <v>0</v>
      </c>
      <c r="P294" s="274">
        <f>Données!U294</f>
        <v>64651.45</v>
      </c>
      <c r="Q294" s="249">
        <f>Données!V294</f>
        <v>55185.95</v>
      </c>
      <c r="R294" s="236">
        <f t="shared" si="39"/>
        <v>78878.210000000006</v>
      </c>
      <c r="S294" s="253">
        <f t="shared" si="40"/>
        <v>-106776.99602964964</v>
      </c>
      <c r="T294" s="254">
        <f t="shared" si="44"/>
        <v>-27898.786029649636</v>
      </c>
    </row>
    <row r="295" spans="1:20" x14ac:dyDescent="0.25">
      <c r="A295" s="111">
        <f>Données!A295</f>
        <v>5925</v>
      </c>
      <c r="B295" s="123" t="str">
        <f>Données!B295</f>
        <v>Orzens</v>
      </c>
      <c r="C295" s="252">
        <f>Données!C295</f>
        <v>216</v>
      </c>
      <c r="D295" s="249">
        <f>RFS!W295</f>
        <v>413402.71027358429</v>
      </c>
      <c r="E295" s="265"/>
      <c r="F295" s="271">
        <f t="shared" si="36"/>
        <v>1913.9014364517791</v>
      </c>
      <c r="G295" s="265">
        <f t="shared" si="41"/>
        <v>-1548.8319948871233</v>
      </c>
      <c r="H295" s="272">
        <f t="shared" si="37"/>
        <v>-267638.16871649493</v>
      </c>
      <c r="I295" s="244"/>
      <c r="J295" s="236">
        <f t="shared" si="42"/>
        <v>3152.9670323614782</v>
      </c>
      <c r="K295" s="265">
        <f t="shared" si="38"/>
        <v>0</v>
      </c>
      <c r="L295" s="272">
        <f t="shared" si="43"/>
        <v>0</v>
      </c>
      <c r="M295" s="265"/>
      <c r="N295" s="274">
        <f>Données!S295</f>
        <v>71829.95</v>
      </c>
      <c r="O295" s="274">
        <f>Données!T295</f>
        <v>235125</v>
      </c>
      <c r="P295" s="274">
        <f>Données!U295</f>
        <v>29903.7</v>
      </c>
      <c r="Q295" s="249">
        <f>Données!V295</f>
        <v>7528.55</v>
      </c>
      <c r="R295" s="236">
        <f t="shared" si="39"/>
        <v>170687.89</v>
      </c>
      <c r="S295" s="253">
        <f t="shared" si="40"/>
        <v>-55441.901784625778</v>
      </c>
      <c r="T295" s="254">
        <f t="shared" si="44"/>
        <v>115245.98821537424</v>
      </c>
    </row>
    <row r="296" spans="1:20" x14ac:dyDescent="0.25">
      <c r="A296" s="111">
        <f>Données!A296</f>
        <v>5926</v>
      </c>
      <c r="B296" s="123" t="str">
        <f>Données!B296</f>
        <v>Pomy</v>
      </c>
      <c r="C296" s="252">
        <f>Données!C296</f>
        <v>904</v>
      </c>
      <c r="D296" s="249">
        <f>RFS!W296</f>
        <v>1989817.6827235029</v>
      </c>
      <c r="E296" s="265"/>
      <c r="F296" s="271">
        <f t="shared" si="36"/>
        <v>2201.1257552251136</v>
      </c>
      <c r="G296" s="265">
        <f t="shared" si="41"/>
        <v>-1261.6076761137888</v>
      </c>
      <c r="H296" s="272">
        <f t="shared" si="37"/>
        <v>-912394.67136549216</v>
      </c>
      <c r="I296" s="244"/>
      <c r="J296" s="236">
        <f t="shared" si="42"/>
        <v>3210.4118961161453</v>
      </c>
      <c r="K296" s="265">
        <f t="shared" si="38"/>
        <v>0</v>
      </c>
      <c r="L296" s="272">
        <f t="shared" si="43"/>
        <v>0</v>
      </c>
      <c r="M296" s="265"/>
      <c r="N296" s="274">
        <f>Données!S296</f>
        <v>70124.399999999994</v>
      </c>
      <c r="O296" s="274">
        <f>Données!T296</f>
        <v>25936.3</v>
      </c>
      <c r="P296" s="274">
        <f>Données!U296</f>
        <v>37668.800000000003</v>
      </c>
      <c r="Q296" s="249">
        <f>Données!V296</f>
        <v>29532.5</v>
      </c>
      <c r="R296" s="236">
        <f t="shared" si="39"/>
        <v>75724.5</v>
      </c>
      <c r="S296" s="253">
        <f t="shared" si="40"/>
        <v>-232034.62598750787</v>
      </c>
      <c r="T296" s="254">
        <f t="shared" si="44"/>
        <v>-156310.12598750787</v>
      </c>
    </row>
    <row r="297" spans="1:20" x14ac:dyDescent="0.25">
      <c r="A297" s="111">
        <f>Données!A297</f>
        <v>5928</v>
      </c>
      <c r="B297" s="123" t="str">
        <f>Données!B297</f>
        <v>Rovray</v>
      </c>
      <c r="C297" s="252">
        <f>Données!C297</f>
        <v>198</v>
      </c>
      <c r="D297" s="249">
        <f>RFS!W297</f>
        <v>346307.61992040352</v>
      </c>
      <c r="E297" s="265"/>
      <c r="F297" s="271">
        <f t="shared" si="36"/>
        <v>1749.0283834363813</v>
      </c>
      <c r="G297" s="265">
        <f t="shared" si="41"/>
        <v>-1713.7050479025211</v>
      </c>
      <c r="H297" s="272">
        <f t="shared" si="37"/>
        <v>-271450.87958775932</v>
      </c>
      <c r="I297" s="244"/>
      <c r="J297" s="236">
        <f t="shared" si="42"/>
        <v>3119.992421758398</v>
      </c>
      <c r="K297" s="265">
        <f t="shared" si="38"/>
        <v>0</v>
      </c>
      <c r="L297" s="272">
        <f t="shared" si="43"/>
        <v>0</v>
      </c>
      <c r="M297" s="265"/>
      <c r="N297" s="274">
        <f>Données!S297</f>
        <v>0</v>
      </c>
      <c r="O297" s="274">
        <f>Données!T297</f>
        <v>0</v>
      </c>
      <c r="P297" s="274">
        <f>Données!U297</f>
        <v>0</v>
      </c>
      <c r="Q297" s="249">
        <f>Données!V297</f>
        <v>0</v>
      </c>
      <c r="R297" s="236">
        <f t="shared" si="39"/>
        <v>0</v>
      </c>
      <c r="S297" s="253">
        <f t="shared" si="40"/>
        <v>-50821.743302573632</v>
      </c>
      <c r="T297" s="254">
        <f t="shared" si="44"/>
        <v>-50821.743302573632</v>
      </c>
    </row>
    <row r="298" spans="1:20" x14ac:dyDescent="0.25">
      <c r="A298" s="111">
        <f>Données!A298</f>
        <v>5929</v>
      </c>
      <c r="B298" s="123" t="str">
        <f>Données!B298</f>
        <v>Suchy</v>
      </c>
      <c r="C298" s="252">
        <f>Données!C298</f>
        <v>672</v>
      </c>
      <c r="D298" s="249">
        <f>RFS!W298</f>
        <v>1572040.5387745388</v>
      </c>
      <c r="E298" s="265"/>
      <c r="F298" s="271">
        <f t="shared" si="36"/>
        <v>2339.3460398430639</v>
      </c>
      <c r="G298" s="265">
        <f t="shared" si="41"/>
        <v>-1123.3873914958385</v>
      </c>
      <c r="H298" s="272">
        <f t="shared" si="37"/>
        <v>-603933.06166816282</v>
      </c>
      <c r="I298" s="244"/>
      <c r="J298" s="236">
        <f t="shared" si="42"/>
        <v>3238.0559530397345</v>
      </c>
      <c r="K298" s="265">
        <f t="shared" si="38"/>
        <v>0</v>
      </c>
      <c r="L298" s="272">
        <f t="shared" si="43"/>
        <v>0</v>
      </c>
      <c r="M298" s="265"/>
      <c r="N298" s="274">
        <f>Données!S298</f>
        <v>58823.9</v>
      </c>
      <c r="O298" s="274">
        <f>Données!T298</f>
        <v>8024.9</v>
      </c>
      <c r="P298" s="274">
        <f>Données!U298</f>
        <v>22857.65</v>
      </c>
      <c r="Q298" s="249">
        <f>Données!V298</f>
        <v>18198.7</v>
      </c>
      <c r="R298" s="236">
        <f t="shared" si="39"/>
        <v>50312.835000000006</v>
      </c>
      <c r="S298" s="253">
        <f t="shared" si="40"/>
        <v>-172485.91666328019</v>
      </c>
      <c r="T298" s="254">
        <f t="shared" si="44"/>
        <v>-122173.08166328019</v>
      </c>
    </row>
    <row r="299" spans="1:20" x14ac:dyDescent="0.25">
      <c r="A299" s="111">
        <f>Données!A299</f>
        <v>5930</v>
      </c>
      <c r="B299" s="123" t="str">
        <f>Données!B299</f>
        <v>Suscévaz</v>
      </c>
      <c r="C299" s="252">
        <f>Données!C299</f>
        <v>263</v>
      </c>
      <c r="D299" s="249">
        <f>RFS!W299</f>
        <v>464894.43905823625</v>
      </c>
      <c r="E299" s="265"/>
      <c r="F299" s="271">
        <f t="shared" si="36"/>
        <v>1767.6594640997575</v>
      </c>
      <c r="G299" s="265">
        <f t="shared" si="41"/>
        <v>-1695.0739672391448</v>
      </c>
      <c r="H299" s="272">
        <f t="shared" si="37"/>
        <v>-356643.56270711613</v>
      </c>
      <c r="I299" s="244"/>
      <c r="J299" s="236">
        <f t="shared" si="42"/>
        <v>3123.7186378910737</v>
      </c>
      <c r="K299" s="265">
        <f t="shared" si="38"/>
        <v>0</v>
      </c>
      <c r="L299" s="272">
        <f t="shared" si="43"/>
        <v>0</v>
      </c>
      <c r="M299" s="265"/>
      <c r="N299" s="274">
        <f>Données!S299</f>
        <v>33084.65</v>
      </c>
      <c r="O299" s="274">
        <f>Données!T299</f>
        <v>0</v>
      </c>
      <c r="P299" s="274">
        <f>Données!U299</f>
        <v>11164.75</v>
      </c>
      <c r="Q299" s="249">
        <f>Données!V299</f>
        <v>0</v>
      </c>
      <c r="R299" s="236">
        <f t="shared" si="39"/>
        <v>22124.7</v>
      </c>
      <c r="S299" s="253">
        <f t="shared" si="40"/>
        <v>-67505.648932206386</v>
      </c>
      <c r="T299" s="254">
        <f t="shared" si="44"/>
        <v>-45380.948932206389</v>
      </c>
    </row>
    <row r="300" spans="1:20" x14ac:dyDescent="0.25">
      <c r="A300" s="111">
        <f>Données!A300</f>
        <v>5931</v>
      </c>
      <c r="B300" s="123" t="str">
        <f>Données!B300</f>
        <v>Treycovagnes</v>
      </c>
      <c r="C300" s="252">
        <f>Données!C300</f>
        <v>518</v>
      </c>
      <c r="D300" s="249">
        <f>RFS!W300</f>
        <v>1019107.4000480958</v>
      </c>
      <c r="E300" s="265"/>
      <c r="F300" s="271">
        <f t="shared" si="36"/>
        <v>1967.3888031816523</v>
      </c>
      <c r="G300" s="265">
        <f t="shared" si="41"/>
        <v>-1495.3446281572501</v>
      </c>
      <c r="H300" s="272">
        <f t="shared" si="37"/>
        <v>-619670.81390836451</v>
      </c>
      <c r="I300" s="244"/>
      <c r="J300" s="236">
        <f t="shared" si="42"/>
        <v>3163.6645057074525</v>
      </c>
      <c r="K300" s="265">
        <f t="shared" si="38"/>
        <v>0</v>
      </c>
      <c r="L300" s="272">
        <f t="shared" si="43"/>
        <v>0</v>
      </c>
      <c r="M300" s="265"/>
      <c r="N300" s="274">
        <f>Données!S300</f>
        <v>54010</v>
      </c>
      <c r="O300" s="274">
        <f>Données!T300</f>
        <v>0</v>
      </c>
      <c r="P300" s="274">
        <f>Données!U300</f>
        <v>42701.15</v>
      </c>
      <c r="Q300" s="249">
        <f>Données!V300</f>
        <v>18214.7</v>
      </c>
      <c r="R300" s="236">
        <f t="shared" si="39"/>
        <v>53819.985000000001</v>
      </c>
      <c r="S300" s="253">
        <f t="shared" si="40"/>
        <v>-132957.89409461181</v>
      </c>
      <c r="T300" s="254">
        <f t="shared" si="44"/>
        <v>-79137.909094611809</v>
      </c>
    </row>
    <row r="301" spans="1:20" x14ac:dyDescent="0.25">
      <c r="A301" s="111">
        <f>Données!A301</f>
        <v>5932</v>
      </c>
      <c r="B301" s="123" t="str">
        <f>Données!B301</f>
        <v>Ursins</v>
      </c>
      <c r="C301" s="252">
        <f>Données!C301</f>
        <v>227</v>
      </c>
      <c r="D301" s="249">
        <f>RFS!W301</f>
        <v>687541.78707899281</v>
      </c>
      <c r="E301" s="265"/>
      <c r="F301" s="271">
        <f t="shared" si="36"/>
        <v>3028.8184452819069</v>
      </c>
      <c r="G301" s="265">
        <f t="shared" si="41"/>
        <v>-433.91498605699553</v>
      </c>
      <c r="H301" s="272">
        <f t="shared" si="37"/>
        <v>-78798.961467950387</v>
      </c>
      <c r="I301" s="244"/>
      <c r="J301" s="236">
        <f t="shared" si="42"/>
        <v>3375.9504341275028</v>
      </c>
      <c r="K301" s="265">
        <f t="shared" si="38"/>
        <v>0</v>
      </c>
      <c r="L301" s="272">
        <f t="shared" si="43"/>
        <v>0</v>
      </c>
      <c r="M301" s="265"/>
      <c r="N301" s="274">
        <f>Données!S301</f>
        <v>19736.849999999999</v>
      </c>
      <c r="O301" s="274">
        <f>Données!T301</f>
        <v>0</v>
      </c>
      <c r="P301" s="274">
        <f>Données!U301</f>
        <v>21752.400000000001</v>
      </c>
      <c r="Q301" s="249">
        <f>Données!V301</f>
        <v>0</v>
      </c>
      <c r="R301" s="236">
        <f t="shared" si="39"/>
        <v>20744.625</v>
      </c>
      <c r="S301" s="253">
        <f t="shared" si="40"/>
        <v>-58265.331968102088</v>
      </c>
      <c r="T301" s="254">
        <f t="shared" si="44"/>
        <v>-37520.706968102088</v>
      </c>
    </row>
    <row r="302" spans="1:20" x14ac:dyDescent="0.25">
      <c r="A302" s="111">
        <f>Données!A302</f>
        <v>5933</v>
      </c>
      <c r="B302" s="123" t="str">
        <f>Données!B302</f>
        <v>Valeyres-sous-Montagny</v>
      </c>
      <c r="C302" s="252">
        <f>Données!C302</f>
        <v>717</v>
      </c>
      <c r="D302" s="249">
        <f>RFS!W302</f>
        <v>1748455.5151723342</v>
      </c>
      <c r="E302" s="265"/>
      <c r="F302" s="271">
        <f t="shared" si="36"/>
        <v>2438.5711508679697</v>
      </c>
      <c r="G302" s="265">
        <f t="shared" si="41"/>
        <v>-1024.1622804709327</v>
      </c>
      <c r="H302" s="272">
        <f t="shared" si="37"/>
        <v>-587459.48407812708</v>
      </c>
      <c r="I302" s="244"/>
      <c r="J302" s="236">
        <f t="shared" si="42"/>
        <v>3257.9009752447159</v>
      </c>
      <c r="K302" s="265">
        <f t="shared" si="38"/>
        <v>0</v>
      </c>
      <c r="L302" s="272">
        <f t="shared" si="43"/>
        <v>0</v>
      </c>
      <c r="M302" s="265"/>
      <c r="N302" s="274">
        <f>Données!S302</f>
        <v>77400.399999999994</v>
      </c>
      <c r="O302" s="274">
        <f>Données!T302</f>
        <v>9.1999999999999993</v>
      </c>
      <c r="P302" s="274">
        <f>Données!U302</f>
        <v>57231.05</v>
      </c>
      <c r="Q302" s="249">
        <f>Données!V302</f>
        <v>24760.85</v>
      </c>
      <c r="R302" s="236">
        <f t="shared" si="39"/>
        <v>74748.58</v>
      </c>
      <c r="S302" s="253">
        <f t="shared" si="40"/>
        <v>-184036.31286841058</v>
      </c>
      <c r="T302" s="254">
        <f t="shared" si="44"/>
        <v>-109287.73286841057</v>
      </c>
    </row>
    <row r="303" spans="1:20" x14ac:dyDescent="0.25">
      <c r="A303" s="111">
        <f>Données!A303</f>
        <v>5934</v>
      </c>
      <c r="B303" s="123" t="str">
        <f>Données!B303</f>
        <v>Valeyres-sous-Ursins</v>
      </c>
      <c r="C303" s="252">
        <f>Données!C303</f>
        <v>225</v>
      </c>
      <c r="D303" s="249">
        <f>RFS!W303</f>
        <v>468397.04756732134</v>
      </c>
      <c r="E303" s="265"/>
      <c r="F303" s="271">
        <f t="shared" si="36"/>
        <v>2081.7646558547617</v>
      </c>
      <c r="G303" s="265">
        <f t="shared" si="41"/>
        <v>-1380.9687754841407</v>
      </c>
      <c r="H303" s="272">
        <f>G303*$G$6*C303</f>
        <v>-248574.37958714535</v>
      </c>
      <c r="I303" s="244"/>
      <c r="J303" s="236">
        <f t="shared" si="42"/>
        <v>3186.5396762420746</v>
      </c>
      <c r="K303" s="265">
        <f t="shared" si="38"/>
        <v>0</v>
      </c>
      <c r="L303" s="272">
        <f t="shared" si="43"/>
        <v>0</v>
      </c>
      <c r="M303" s="265"/>
      <c r="N303" s="274">
        <f>Données!S303</f>
        <v>9432.5</v>
      </c>
      <c r="O303" s="274">
        <f>Données!T303</f>
        <v>3795</v>
      </c>
      <c r="P303" s="274">
        <f>Données!U303</f>
        <v>1125</v>
      </c>
      <c r="Q303" s="249">
        <f>Données!V303</f>
        <v>0</v>
      </c>
      <c r="R303" s="236">
        <f t="shared" si="39"/>
        <v>7176.25</v>
      </c>
      <c r="S303" s="253">
        <f t="shared" si="40"/>
        <v>-57751.981025651854</v>
      </c>
      <c r="T303" s="254">
        <f t="shared" si="44"/>
        <v>-50575.731025651854</v>
      </c>
    </row>
    <row r="304" spans="1:20" x14ac:dyDescent="0.25">
      <c r="A304" s="111">
        <f>Données!A304</f>
        <v>5935</v>
      </c>
      <c r="B304" s="123" t="str">
        <f>Données!B304</f>
        <v>Villars-Epeney</v>
      </c>
      <c r="C304" s="252">
        <f>Données!C304</f>
        <v>109</v>
      </c>
      <c r="D304" s="249">
        <f>RFS!W304</f>
        <v>440794.84667316743</v>
      </c>
      <c r="E304" s="265"/>
      <c r="F304" s="271">
        <f t="shared" si="36"/>
        <v>4043.9894190198847</v>
      </c>
      <c r="G304" s="265">
        <f t="shared" si="41"/>
        <v>581.25598768098234</v>
      </c>
      <c r="H304" s="272">
        <f t="shared" si="37"/>
        <v>50685.522125781659</v>
      </c>
      <c r="I304" s="244"/>
      <c r="J304" s="236">
        <f t="shared" si="42"/>
        <v>3578.9846288750991</v>
      </c>
      <c r="K304" s="265">
        <f t="shared" si="38"/>
        <v>0</v>
      </c>
      <c r="L304" s="272">
        <f t="shared" si="43"/>
        <v>0</v>
      </c>
      <c r="M304" s="265"/>
      <c r="N304" s="274">
        <f>Données!S304</f>
        <v>30250</v>
      </c>
      <c r="O304" s="274">
        <f>Données!T304</f>
        <v>0</v>
      </c>
      <c r="P304" s="274">
        <f>Données!U304</f>
        <v>42369.45</v>
      </c>
      <c r="Q304" s="249">
        <f>Données!V304</f>
        <v>0</v>
      </c>
      <c r="R304" s="236">
        <f t="shared" si="39"/>
        <v>36309.724999999999</v>
      </c>
      <c r="S304" s="253">
        <f t="shared" si="40"/>
        <v>-27977.626363538009</v>
      </c>
      <c r="T304" s="254">
        <f t="shared" si="44"/>
        <v>8332.0986364619894</v>
      </c>
    </row>
    <row r="305" spans="1:20" x14ac:dyDescent="0.25">
      <c r="A305" s="111">
        <f>Données!A305</f>
        <v>5937</v>
      </c>
      <c r="B305" s="123" t="str">
        <f>Données!B305</f>
        <v>Vugelles-La Mothe</v>
      </c>
      <c r="C305" s="252">
        <f>Données!C305</f>
        <v>142</v>
      </c>
      <c r="D305" s="249">
        <f>RFS!W305</f>
        <v>233453.88529600087</v>
      </c>
      <c r="E305" s="265"/>
      <c r="F305" s="271">
        <f t="shared" si="36"/>
        <v>1644.0414457464849</v>
      </c>
      <c r="G305" s="265">
        <f t="shared" si="41"/>
        <v>-1818.6919855924175</v>
      </c>
      <c r="H305" s="272">
        <f t="shared" si="37"/>
        <v>-206603.40956329866</v>
      </c>
      <c r="I305" s="244"/>
      <c r="J305" s="236">
        <f t="shared" si="42"/>
        <v>3098.9950342204193</v>
      </c>
      <c r="K305" s="265">
        <f t="shared" si="38"/>
        <v>-17.465053984592942</v>
      </c>
      <c r="L305" s="272">
        <f t="shared" si="43"/>
        <v>-2480</v>
      </c>
      <c r="M305" s="265"/>
      <c r="N305" s="274">
        <f>Données!S305</f>
        <v>0</v>
      </c>
      <c r="O305" s="274">
        <f>Données!T305</f>
        <v>0</v>
      </c>
      <c r="P305" s="274">
        <f>Données!U305</f>
        <v>0</v>
      </c>
      <c r="Q305" s="249">
        <f>Données!V305</f>
        <v>2693.45</v>
      </c>
      <c r="R305" s="236">
        <f t="shared" si="39"/>
        <v>808.03499999999997</v>
      </c>
      <c r="S305" s="253">
        <f t="shared" si="40"/>
        <v>-36447.916913966947</v>
      </c>
      <c r="T305" s="254">
        <f t="shared" si="44"/>
        <v>-35639.881913966943</v>
      </c>
    </row>
    <row r="306" spans="1:20" x14ac:dyDescent="0.25">
      <c r="A306" s="111">
        <f>Données!A306</f>
        <v>5938</v>
      </c>
      <c r="B306" s="123" t="str">
        <f>Données!B306</f>
        <v>Yverdon-les-Bains</v>
      </c>
      <c r="C306" s="252">
        <f>Données!C306</f>
        <v>30600</v>
      </c>
      <c r="D306" s="249">
        <f>RFS!W306</f>
        <v>53830922.754487127</v>
      </c>
      <c r="E306" s="265"/>
      <c r="F306" s="271">
        <f t="shared" si="36"/>
        <v>1759.1804821727819</v>
      </c>
      <c r="G306" s="265">
        <f t="shared" si="41"/>
        <v>-1703.5529491661205</v>
      </c>
      <c r="H306" s="272">
        <f t="shared" si="37"/>
        <v>-41702976.195586629</v>
      </c>
      <c r="I306" s="244"/>
      <c r="J306" s="236">
        <f t="shared" si="42"/>
        <v>3122.0228415056781</v>
      </c>
      <c r="K306" s="265">
        <f t="shared" si="38"/>
        <v>0</v>
      </c>
      <c r="L306" s="272">
        <f t="shared" si="43"/>
        <v>0</v>
      </c>
      <c r="M306" s="265"/>
      <c r="N306" s="274">
        <f>Données!S306</f>
        <v>1387528.25</v>
      </c>
      <c r="O306" s="274">
        <f>Données!T306</f>
        <v>1431554.4</v>
      </c>
      <c r="P306" s="274">
        <f>Données!U306</f>
        <v>5746514.1500000004</v>
      </c>
      <c r="Q306" s="249">
        <f>Données!V306</f>
        <v>7963901.5</v>
      </c>
      <c r="R306" s="236">
        <f t="shared" si="39"/>
        <v>6671968.8499999996</v>
      </c>
      <c r="S306" s="253">
        <f t="shared" si="40"/>
        <v>-7854269.4194886517</v>
      </c>
      <c r="T306" s="254">
        <f t="shared" si="44"/>
        <v>-1182300.5694886521</v>
      </c>
    </row>
    <row r="307" spans="1:20" x14ac:dyDescent="0.25">
      <c r="A307" s="113">
        <f>Données!A307</f>
        <v>5939</v>
      </c>
      <c r="B307" s="124" t="str">
        <f>Données!B307</f>
        <v>Yvonand</v>
      </c>
      <c r="C307" s="275">
        <f>Données!C307</f>
        <v>3536</v>
      </c>
      <c r="D307" s="276">
        <f>RFS!W307</f>
        <v>6463061.1224151477</v>
      </c>
      <c r="E307" s="265"/>
      <c r="F307" s="277">
        <f t="shared" si="36"/>
        <v>1827.7887789635599</v>
      </c>
      <c r="G307" s="278">
        <f t="shared" si="41"/>
        <v>-1634.9446523753425</v>
      </c>
      <c r="H307" s="263">
        <f t="shared" si="37"/>
        <v>-4624931.4326393688</v>
      </c>
      <c r="I307" s="244"/>
      <c r="J307" s="258">
        <f t="shared" si="42"/>
        <v>3135.7445008638338</v>
      </c>
      <c r="K307" s="278">
        <f t="shared" si="38"/>
        <v>0</v>
      </c>
      <c r="L307" s="263">
        <f t="shared" si="43"/>
        <v>0</v>
      </c>
      <c r="M307" s="265"/>
      <c r="N307" s="274">
        <f>Données!S307</f>
        <v>224610.05</v>
      </c>
      <c r="O307" s="274">
        <f>Données!T307</f>
        <v>612161.4</v>
      </c>
      <c r="P307" s="274">
        <f>Données!U307</f>
        <v>272710.95</v>
      </c>
      <c r="Q307" s="249">
        <f>Données!V307</f>
        <v>260626.8</v>
      </c>
      <c r="R307" s="258">
        <f t="shared" si="39"/>
        <v>632929.24</v>
      </c>
      <c r="S307" s="259">
        <f t="shared" si="40"/>
        <v>-907604.46625202196</v>
      </c>
      <c r="T307" s="260">
        <f t="shared" si="44"/>
        <v>-274675.22625202197</v>
      </c>
    </row>
    <row r="308" spans="1:20" x14ac:dyDescent="0.25">
      <c r="A308" s="510" t="s">
        <v>25</v>
      </c>
      <c r="B308" s="511"/>
      <c r="C308" s="258">
        <f>SUM(C8:C307)</f>
        <v>864226</v>
      </c>
      <c r="D308" s="258">
        <f>SUM(D8:D307)</f>
        <v>2992584262.4322944</v>
      </c>
      <c r="E308" s="265"/>
      <c r="F308" s="277">
        <f>D308/C308</f>
        <v>3462.7334313389024</v>
      </c>
      <c r="G308" s="258" t="s">
        <v>26</v>
      </c>
      <c r="H308" s="263">
        <f>SUM(H8:H307)</f>
        <v>-1.2749806046485901E-6</v>
      </c>
      <c r="I308" s="244"/>
      <c r="J308" s="258">
        <f>SUMPRODUCT(J8:J307,C8:C307)/C308</f>
        <v>3462.7334313389019</v>
      </c>
      <c r="K308" s="258" t="s">
        <v>26</v>
      </c>
      <c r="L308" s="263">
        <f>SUM(L8:L307)</f>
        <v>-3056165</v>
      </c>
      <c r="M308" s="265"/>
      <c r="N308" s="262">
        <f t="shared" ref="N308:P308" si="45">SUM(N8:N307)</f>
        <v>120102569.05</v>
      </c>
      <c r="O308" s="262">
        <f t="shared" si="45"/>
        <v>171022826.5</v>
      </c>
      <c r="P308" s="262">
        <f t="shared" si="45"/>
        <v>91194673.850000054</v>
      </c>
      <c r="Q308" s="262">
        <f>SUM(Q8:Q307)</f>
        <v>103718603.65000001</v>
      </c>
      <c r="R308" s="258">
        <f>SUM(R8:R307)</f>
        <v>222275615.79499999</v>
      </c>
      <c r="S308" s="258">
        <f>SUM(S8:S307)</f>
        <v>-221825615.79500005</v>
      </c>
      <c r="T308" s="280">
        <f>SUM(T8:T307)</f>
        <v>450000.00000001676</v>
      </c>
    </row>
    <row r="309" spans="1:20" x14ac:dyDescent="0.25">
      <c r="H309" s="15"/>
    </row>
  </sheetData>
  <sheetProtection sheet="1" objects="1" scenarios="1"/>
  <mergeCells count="11">
    <mergeCell ref="F2:G2"/>
    <mergeCell ref="A308:B308"/>
    <mergeCell ref="F3:H4"/>
    <mergeCell ref="D1:E1"/>
    <mergeCell ref="N3:T4"/>
    <mergeCell ref="N5:Q5"/>
    <mergeCell ref="A6:A7"/>
    <mergeCell ref="B6:B7"/>
    <mergeCell ref="C6:C7"/>
    <mergeCell ref="D6:D7"/>
    <mergeCell ref="J3:L4"/>
  </mergeCells>
  <conditionalFormatting sqref="D8:E307">
    <cfRule type="cellIs" dxfId="44" priority="59" operator="lessThan">
      <formula>#REF!</formula>
    </cfRule>
  </conditionalFormatting>
  <conditionalFormatting sqref="H6">
    <cfRule type="cellIs" dxfId="43" priority="9" operator="equal">
      <formula>"ERREUR"</formula>
    </cfRule>
    <cfRule type="cellIs" dxfId="42" priority="10" operator="equal">
      <formula>"OK"</formula>
    </cfRule>
  </conditionalFormatting>
  <conditionalFormatting sqref="T6">
    <cfRule type="cellIs" dxfId="41" priority="3" operator="equal">
      <formula>$S$6</formula>
    </cfRule>
    <cfRule type="cellIs" dxfId="40" priority="4" operator="notEqual">
      <formula>$S$6</formula>
    </cfRule>
  </conditionalFormatting>
  <hyperlinks>
    <hyperlink ref="D1:E1" location="RFS!A1" display="← Précédent" xr:uid="{C00B40A9-F3C7-4FCF-9810-417935930D0E}"/>
    <hyperlink ref="F1" location="'Table des matières'!A1" display="Table des matières" xr:uid="{E499C7C6-5E34-448D-8D9C-DFC13C549E84}"/>
    <hyperlink ref="G1" location="'Besoins structurels'!A1" display="Suivant →" xr:uid="{907C2DB0-78F2-4FBA-B9FB-6FE7A21FF50F}"/>
  </hyperlinks>
  <pageMargins left="0.70866141732283472" right="0.70866141732283472" top="0.74803149606299213" bottom="0.74803149606299213" header="0.31496062992125984" footer="0.31496062992125984"/>
  <pageSetup paperSize="9" scale="4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B6C21-47FB-43A2-B89C-DBA09E4D3DB1}">
  <sheetPr codeName="Feuil8">
    <tabColor rgb="FFCCECFF"/>
    <pageSetUpPr autoPageBreaks="0"/>
  </sheetPr>
  <dimension ref="A1:Y309"/>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3.28515625" style="1" customWidth="1"/>
    <col min="3" max="3" width="12.140625" style="1" customWidth="1"/>
    <col min="4" max="4" width="4.28515625" style="1" customWidth="1"/>
    <col min="5" max="7" width="11.42578125" style="1" customWidth="1"/>
    <col min="8" max="8" width="14" style="1" customWidth="1"/>
    <col min="9" max="9" width="14.140625" style="1" customWidth="1"/>
    <col min="10" max="10" width="4.28515625" style="1" customWidth="1"/>
    <col min="11" max="11" width="11.42578125" style="1" customWidth="1"/>
    <col min="12" max="13" width="16.85546875" style="1" customWidth="1"/>
    <col min="14" max="14" width="15.28515625" style="1" customWidth="1"/>
    <col min="15" max="15" width="4.28515625" style="1" customWidth="1"/>
    <col min="16" max="16" width="9.28515625" style="1" customWidth="1"/>
    <col min="17" max="17" width="9.85546875" style="1" customWidth="1"/>
    <col min="18" max="18" width="10.5703125" style="1" customWidth="1"/>
    <col min="19" max="19" width="11.85546875" style="1" customWidth="1"/>
    <col min="20" max="20" width="15.7109375" style="1" customWidth="1"/>
    <col min="21" max="21" width="14.28515625" style="1" customWidth="1"/>
    <col min="22" max="22" width="14.5703125" style="1" customWidth="1"/>
    <col min="23" max="23" width="5.28515625" style="1" customWidth="1"/>
    <col min="24" max="24" width="13.140625" style="1" customWidth="1"/>
    <col min="25" max="25" width="12.85546875" style="1" customWidth="1"/>
    <col min="26" max="26" width="4.28515625" style="1" customWidth="1"/>
    <col min="27" max="27" width="13.7109375" style="1" customWidth="1"/>
    <col min="28" max="16384" width="11.42578125" style="1"/>
  </cols>
  <sheetData>
    <row r="1" spans="1:25" ht="27" customHeight="1" x14ac:dyDescent="0.4">
      <c r="A1" s="10" t="s">
        <v>32</v>
      </c>
      <c r="F1" s="96" t="s">
        <v>441</v>
      </c>
      <c r="G1" s="98" t="s">
        <v>442</v>
      </c>
      <c r="H1" s="99" t="s">
        <v>443</v>
      </c>
      <c r="I1" s="77"/>
      <c r="J1" s="4"/>
      <c r="L1" s="56"/>
      <c r="O1" s="4"/>
    </row>
    <row r="2" spans="1:25" ht="15" customHeight="1" x14ac:dyDescent="0.25">
      <c r="A2" s="46" t="str">
        <f>_xlfn.CONCAT(Paramètres!M5," ",Paramètres!N5)</f>
        <v>Décompte final 2025</v>
      </c>
      <c r="I2" s="2" t="str">
        <f>_xlfn.CONCAT(COUNTIF(I8:I307,"&lt;0")," communes")</f>
        <v>132 communes</v>
      </c>
      <c r="J2" s="4"/>
      <c r="M2" s="23"/>
      <c r="N2" s="78" t="str">
        <f>_xlfn.CONCAT(COUNTIF(N8:N307,"&lt;0")," communes")</f>
        <v>102 communes</v>
      </c>
      <c r="O2" s="6"/>
      <c r="V2" s="2" t="str">
        <f>_xlfn.CONCAT(COUNTIF(V8:V307,"&lt;0")," communes")</f>
        <v>102 communes</v>
      </c>
    </row>
    <row r="3" spans="1:25" ht="15" customHeight="1" x14ac:dyDescent="0.25">
      <c r="A3" s="546" t="s">
        <v>488</v>
      </c>
      <c r="B3" s="547"/>
      <c r="C3" s="550">
        <f>I308+N308+V308</f>
        <v>-29369338</v>
      </c>
      <c r="D3" s="29"/>
      <c r="E3" s="533" t="s">
        <v>30</v>
      </c>
      <c r="F3" s="534"/>
      <c r="G3" s="535"/>
      <c r="H3" s="147" t="s">
        <v>46</v>
      </c>
      <c r="I3" s="129">
        <f>Paramètres!G5</f>
        <v>1.2</v>
      </c>
      <c r="J3" s="6"/>
      <c r="K3" s="553" t="s">
        <v>414</v>
      </c>
      <c r="L3" s="554"/>
      <c r="M3" s="478" t="s">
        <v>416</v>
      </c>
      <c r="N3" s="552" t="str">
        <f>_xlfn.CONCAT(Paramètres!G13," m")</f>
        <v>730 m</v>
      </c>
      <c r="O3" s="20"/>
      <c r="P3" s="533" t="s">
        <v>43</v>
      </c>
      <c r="Q3" s="534"/>
      <c r="R3" s="534"/>
      <c r="S3" s="534"/>
      <c r="T3" s="535"/>
      <c r="U3" s="72" t="s">
        <v>46</v>
      </c>
      <c r="V3" s="131">
        <f>Paramètres!G16</f>
        <v>1.2</v>
      </c>
    </row>
    <row r="4" spans="1:25" ht="15" customHeight="1" x14ac:dyDescent="0.25">
      <c r="A4" s="548"/>
      <c r="B4" s="549"/>
      <c r="C4" s="551"/>
      <c r="E4" s="536"/>
      <c r="F4" s="537"/>
      <c r="G4" s="538"/>
      <c r="H4" s="186" t="s">
        <v>47</v>
      </c>
      <c r="I4" s="364">
        <f>MEDIAN(F8:F307)*I3</f>
        <v>0.76457820197044335</v>
      </c>
      <c r="J4" s="20"/>
      <c r="K4" s="555"/>
      <c r="L4" s="556"/>
      <c r="M4" s="478"/>
      <c r="N4" s="552"/>
      <c r="O4" s="14"/>
      <c r="P4" s="536"/>
      <c r="Q4" s="537"/>
      <c r="R4" s="537"/>
      <c r="S4" s="537"/>
      <c r="T4" s="538"/>
      <c r="U4" s="147" t="s">
        <v>48</v>
      </c>
      <c r="V4" s="364">
        <f>R308/C308*V3</f>
        <v>0.13619631901840484</v>
      </c>
    </row>
    <row r="5" spans="1:25" ht="15" customHeight="1" x14ac:dyDescent="0.25">
      <c r="A5" s="226"/>
      <c r="B5" s="226"/>
      <c r="C5" s="29"/>
      <c r="E5" s="539"/>
      <c r="F5" s="540"/>
      <c r="G5" s="541"/>
      <c r="H5" s="186" t="s">
        <v>28</v>
      </c>
      <c r="I5" s="128">
        <f>Paramètres!G7</f>
        <v>106.6271018793274</v>
      </c>
      <c r="J5" s="4"/>
      <c r="K5" s="557"/>
      <c r="L5" s="558"/>
      <c r="M5" s="147" t="s">
        <v>28</v>
      </c>
      <c r="N5" s="130">
        <f>Paramètres!G12</f>
        <v>586.4490603363007</v>
      </c>
      <c r="O5" s="4"/>
      <c r="P5" s="539"/>
      <c r="Q5" s="540"/>
      <c r="R5" s="540"/>
      <c r="S5" s="540"/>
      <c r="T5" s="541"/>
      <c r="U5" s="147" t="s">
        <v>28</v>
      </c>
      <c r="V5" s="128">
        <f>Paramètres!G18</f>
        <v>4265.0840751730957</v>
      </c>
    </row>
    <row r="6" spans="1:25" ht="15" customHeight="1" x14ac:dyDescent="0.25">
      <c r="A6" s="562" t="s">
        <v>0</v>
      </c>
      <c r="B6" s="562" t="s">
        <v>1</v>
      </c>
      <c r="C6" s="495" t="s">
        <v>29</v>
      </c>
      <c r="D6" s="5"/>
      <c r="E6" s="531" t="s">
        <v>30</v>
      </c>
      <c r="F6" s="531" t="s">
        <v>433</v>
      </c>
      <c r="G6" s="531" t="s">
        <v>52</v>
      </c>
      <c r="H6" s="531" t="s">
        <v>45</v>
      </c>
      <c r="I6" s="531" t="s">
        <v>483</v>
      </c>
      <c r="J6" s="5"/>
      <c r="K6" s="531" t="s">
        <v>414</v>
      </c>
      <c r="L6" s="531" t="s">
        <v>583</v>
      </c>
      <c r="M6" s="531" t="s">
        <v>560</v>
      </c>
      <c r="N6" s="531" t="s">
        <v>483</v>
      </c>
      <c r="O6" s="5"/>
      <c r="P6" s="132">
        <v>1</v>
      </c>
      <c r="Q6" s="133">
        <f>Paramètres!G19</f>
        <v>0.15</v>
      </c>
      <c r="R6" s="531" t="s">
        <v>43</v>
      </c>
      <c r="S6" s="531" t="s">
        <v>434</v>
      </c>
      <c r="T6" s="531" t="s">
        <v>53</v>
      </c>
      <c r="U6" s="531" t="s">
        <v>561</v>
      </c>
      <c r="V6" s="531" t="s">
        <v>483</v>
      </c>
      <c r="W6" s="542" t="s">
        <v>536</v>
      </c>
      <c r="X6" s="543" t="s">
        <v>591</v>
      </c>
      <c r="Y6" s="543" t="s">
        <v>592</v>
      </c>
    </row>
    <row r="7" spans="1:25" ht="37.5" customHeight="1" x14ac:dyDescent="0.25">
      <c r="A7" s="563"/>
      <c r="B7" s="563"/>
      <c r="C7" s="496"/>
      <c r="D7" s="21"/>
      <c r="E7" s="532"/>
      <c r="F7" s="532"/>
      <c r="G7" s="532"/>
      <c r="H7" s="532"/>
      <c r="I7" s="559"/>
      <c r="J7" s="5"/>
      <c r="K7" s="532"/>
      <c r="L7" s="532"/>
      <c r="M7" s="559"/>
      <c r="N7" s="559"/>
      <c r="O7" s="5"/>
      <c r="P7" s="199" t="s">
        <v>42</v>
      </c>
      <c r="Q7" s="199" t="s">
        <v>395</v>
      </c>
      <c r="R7" s="532"/>
      <c r="S7" s="532"/>
      <c r="T7" s="532"/>
      <c r="U7" s="532"/>
      <c r="V7" s="559"/>
      <c r="W7" s="542"/>
      <c r="X7" s="544"/>
      <c r="Y7" s="545"/>
    </row>
    <row r="8" spans="1:25" x14ac:dyDescent="0.25">
      <c r="A8" s="110">
        <f>Données!A8</f>
        <v>5401</v>
      </c>
      <c r="B8" s="118" t="str">
        <f>Données!B8</f>
        <v>Aigle</v>
      </c>
      <c r="C8" s="243">
        <f>Données!C8</f>
        <v>12081</v>
      </c>
      <c r="D8" s="265"/>
      <c r="E8" s="240">
        <f>Données!X8</f>
        <v>1568</v>
      </c>
      <c r="F8" s="282">
        <f t="shared" ref="F8:F71" si="0">E8/C8</f>
        <v>0.1297905802499793</v>
      </c>
      <c r="G8" s="265">
        <f t="shared" ref="G8:G71" si="1">C8*$I$4</f>
        <v>9236.8692580049265</v>
      </c>
      <c r="H8" s="269">
        <f>IF(E8&gt;G8,E8-G8,0)</f>
        <v>0</v>
      </c>
      <c r="I8" s="283">
        <f>ROUND(-H8*$I$5,0)</f>
        <v>0</v>
      </c>
      <c r="J8" s="265"/>
      <c r="K8" s="270">
        <f>Données!Y8</f>
        <v>9</v>
      </c>
      <c r="L8" s="440">
        <f>Données!Z8</f>
        <v>0.35299999999999998</v>
      </c>
      <c r="M8" s="267">
        <f t="shared" ref="M8:M71" si="2">L8*$N$5</f>
        <v>207.01651829871415</v>
      </c>
      <c r="N8" s="283">
        <f t="shared" ref="N8:N71" si="3">ROUND(-M8*K8,0)</f>
        <v>-1863</v>
      </c>
      <c r="O8" s="265"/>
      <c r="P8" s="249">
        <f>Données!AA8</f>
        <v>1479</v>
      </c>
      <c r="Q8" s="284">
        <f>Données!AB8</f>
        <v>25</v>
      </c>
      <c r="R8" s="245">
        <f>P8*$P$6+Q8*$Q$6</f>
        <v>1482.75</v>
      </c>
      <c r="S8" s="285">
        <f t="shared" ref="S8:S71" si="4">R8/C8</f>
        <v>0.12273404519493419</v>
      </c>
      <c r="T8" s="269">
        <f t="shared" ref="T8:T71" si="5">$V$4*C8</f>
        <v>1645.387730061349</v>
      </c>
      <c r="U8" s="269">
        <f>IF(R8&gt;T8,R8-T8,0)</f>
        <v>0</v>
      </c>
      <c r="V8" s="283">
        <f>ROUND(-$V$5*U8,0)</f>
        <v>0</v>
      </c>
      <c r="W8" s="340"/>
      <c r="X8" s="245">
        <f>IF(-Q8*$Q$6*$V$5&gt;V8,-Q8*$Q$6*$V$5,V8)</f>
        <v>0</v>
      </c>
      <c r="Y8" s="246">
        <f>IF(X8&gt;V8,V8-X8,0)</f>
        <v>0</v>
      </c>
    </row>
    <row r="9" spans="1:25" ht="15" customHeight="1" x14ac:dyDescent="0.25">
      <c r="A9" s="111">
        <f>Données!A9</f>
        <v>5402</v>
      </c>
      <c r="B9" s="119" t="str">
        <f>Données!B9</f>
        <v>Bex</v>
      </c>
      <c r="C9" s="252">
        <f>Données!C9</f>
        <v>8923</v>
      </c>
      <c r="D9" s="265"/>
      <c r="E9" s="249">
        <f>Données!X9</f>
        <v>6400</v>
      </c>
      <c r="F9" s="286">
        <f t="shared" si="0"/>
        <v>0.71724756247898691</v>
      </c>
      <c r="G9" s="265">
        <f t="shared" si="1"/>
        <v>6822.3312961822658</v>
      </c>
      <c r="H9" s="273">
        <f t="shared" ref="H9:H72" si="6">IF(E9&gt;G9,E9-G9,0)</f>
        <v>0</v>
      </c>
      <c r="I9" s="287">
        <f t="shared" ref="I9:I72" si="7">ROUND(-H9*$I$5,0)</f>
        <v>0</v>
      </c>
      <c r="J9" s="265"/>
      <c r="K9" s="274">
        <f>Données!Y9</f>
        <v>516</v>
      </c>
      <c r="L9" s="441">
        <f>Données!Z9</f>
        <v>0.7</v>
      </c>
      <c r="M9" s="265">
        <f t="shared" si="2"/>
        <v>410.51434223541048</v>
      </c>
      <c r="N9" s="287">
        <f t="shared" si="3"/>
        <v>-211825</v>
      </c>
      <c r="O9" s="265"/>
      <c r="P9" s="249">
        <f>Données!AA9</f>
        <v>1106</v>
      </c>
      <c r="Q9" s="284">
        <f>Données!AB9</f>
        <v>141</v>
      </c>
      <c r="R9" s="236">
        <f t="shared" ref="R9:R71" si="8">P9*$P$6+Q9*$Q$6</f>
        <v>1127.1500000000001</v>
      </c>
      <c r="S9" s="288">
        <f t="shared" si="4"/>
        <v>0.1263196234450297</v>
      </c>
      <c r="T9" s="273">
        <f t="shared" si="5"/>
        <v>1215.2797546012264</v>
      </c>
      <c r="U9" s="273">
        <f t="shared" ref="U9:U72" si="9">IF(R9&gt;T9,R9-T9,0)</f>
        <v>0</v>
      </c>
      <c r="V9" s="287">
        <f t="shared" ref="V9:V72" si="10">ROUND(-$V$5*U9,0)</f>
        <v>0</v>
      </c>
      <c r="W9" s="340"/>
      <c r="X9" s="236">
        <f t="shared" ref="X9:X72" si="11">IF(-Q9*$Q$6*$V$5&gt;V9,-Q9*$Q$6*$V$5,V9)</f>
        <v>0</v>
      </c>
      <c r="Y9" s="253">
        <f t="shared" ref="Y9:Y72" si="12">IF(X9&gt;V9,V9-X9,0)</f>
        <v>0</v>
      </c>
    </row>
    <row r="10" spans="1:25" x14ac:dyDescent="0.25">
      <c r="A10" s="111">
        <f>Données!A10</f>
        <v>5403</v>
      </c>
      <c r="B10" s="119" t="str">
        <f>Données!B10</f>
        <v>Chessel</v>
      </c>
      <c r="C10" s="252">
        <f>Données!C10</f>
        <v>525</v>
      </c>
      <c r="D10" s="265"/>
      <c r="E10" s="249">
        <f>Données!X10</f>
        <v>330</v>
      </c>
      <c r="F10" s="286">
        <f t="shared" si="0"/>
        <v>0.62857142857142856</v>
      </c>
      <c r="G10" s="265">
        <f t="shared" si="1"/>
        <v>401.40355603448273</v>
      </c>
      <c r="H10" s="273">
        <f t="shared" si="6"/>
        <v>0</v>
      </c>
      <c r="I10" s="287">
        <f t="shared" si="7"/>
        <v>0</v>
      </c>
      <c r="J10" s="265"/>
      <c r="K10" s="274">
        <f>Données!Y10</f>
        <v>0</v>
      </c>
      <c r="L10" s="441">
        <f>Données!Z10</f>
        <v>2.4E-2</v>
      </c>
      <c r="M10" s="265">
        <f t="shared" si="2"/>
        <v>14.074777448071217</v>
      </c>
      <c r="N10" s="287">
        <f t="shared" si="3"/>
        <v>0</v>
      </c>
      <c r="O10" s="265"/>
      <c r="P10" s="249">
        <f>Données!AA10</f>
        <v>72</v>
      </c>
      <c r="Q10" s="284">
        <f>Données!AB10</f>
        <v>58</v>
      </c>
      <c r="R10" s="236">
        <f t="shared" si="8"/>
        <v>80.7</v>
      </c>
      <c r="S10" s="288">
        <f t="shared" si="4"/>
        <v>0.15371428571428572</v>
      </c>
      <c r="T10" s="273">
        <f t="shared" si="5"/>
        <v>71.503067484662537</v>
      </c>
      <c r="U10" s="273">
        <f t="shared" si="9"/>
        <v>9.1969325153374655</v>
      </c>
      <c r="V10" s="287">
        <f t="shared" si="10"/>
        <v>-39226</v>
      </c>
      <c r="W10" s="340"/>
      <c r="X10" s="236">
        <f t="shared" si="11"/>
        <v>-37106.231454005931</v>
      </c>
      <c r="Y10" s="253">
        <f t="shared" si="12"/>
        <v>-2119.7685459940694</v>
      </c>
    </row>
    <row r="11" spans="1:25" x14ac:dyDescent="0.25">
      <c r="A11" s="111">
        <f>Données!A11</f>
        <v>5404</v>
      </c>
      <c r="B11" s="119" t="str">
        <f>Données!B11</f>
        <v>Corbeyrier</v>
      </c>
      <c r="C11" s="252">
        <f>Données!C11</f>
        <v>456</v>
      </c>
      <c r="D11" s="265"/>
      <c r="E11" s="249">
        <f>Données!X11</f>
        <v>2057</v>
      </c>
      <c r="F11" s="286">
        <f t="shared" si="0"/>
        <v>4.5109649122807021</v>
      </c>
      <c r="G11" s="265">
        <f t="shared" si="1"/>
        <v>348.64766009852218</v>
      </c>
      <c r="H11" s="273">
        <f t="shared" si="6"/>
        <v>1708.3523399014778</v>
      </c>
      <c r="I11" s="287">
        <f t="shared" si="7"/>
        <v>-182157</v>
      </c>
      <c r="J11" s="265"/>
      <c r="K11" s="274">
        <f>Données!Y11</f>
        <v>446</v>
      </c>
      <c r="L11" s="441">
        <f>Données!Z11</f>
        <v>0.66400000000000003</v>
      </c>
      <c r="M11" s="265">
        <f t="shared" si="2"/>
        <v>389.40217606330367</v>
      </c>
      <c r="N11" s="287">
        <f t="shared" si="3"/>
        <v>-173673</v>
      </c>
      <c r="O11" s="265"/>
      <c r="P11" s="249">
        <f>Données!AA11</f>
        <v>43</v>
      </c>
      <c r="Q11" s="284">
        <f>Données!AB11</f>
        <v>30</v>
      </c>
      <c r="R11" s="236">
        <f t="shared" si="8"/>
        <v>47.5</v>
      </c>
      <c r="S11" s="288">
        <f t="shared" si="4"/>
        <v>0.10416666666666667</v>
      </c>
      <c r="T11" s="273">
        <f t="shared" si="5"/>
        <v>62.10552147239261</v>
      </c>
      <c r="U11" s="273">
        <f t="shared" si="9"/>
        <v>0</v>
      </c>
      <c r="V11" s="287">
        <f t="shared" si="10"/>
        <v>0</v>
      </c>
      <c r="W11" s="340"/>
      <c r="X11" s="236">
        <f t="shared" si="11"/>
        <v>0</v>
      </c>
      <c r="Y11" s="253">
        <f t="shared" si="12"/>
        <v>0</v>
      </c>
    </row>
    <row r="12" spans="1:25" x14ac:dyDescent="0.25">
      <c r="A12" s="111">
        <f>Données!A12</f>
        <v>5405</v>
      </c>
      <c r="B12" s="119" t="str">
        <f>Données!B12</f>
        <v>Gryon</v>
      </c>
      <c r="C12" s="252">
        <f>Données!C12</f>
        <v>1546</v>
      </c>
      <c r="D12" s="265"/>
      <c r="E12" s="249">
        <f>Données!X12</f>
        <v>1404</v>
      </c>
      <c r="F12" s="286">
        <f t="shared" si="0"/>
        <v>0.90815006468305304</v>
      </c>
      <c r="G12" s="265">
        <f t="shared" si="1"/>
        <v>1182.0379002463055</v>
      </c>
      <c r="H12" s="273">
        <f t="shared" si="6"/>
        <v>221.96209975369447</v>
      </c>
      <c r="I12" s="287">
        <f t="shared" si="7"/>
        <v>-23667</v>
      </c>
      <c r="J12" s="265"/>
      <c r="K12" s="274">
        <f>Données!Y12</f>
        <v>1546</v>
      </c>
      <c r="L12" s="441">
        <f>Données!Z12</f>
        <v>0.61099999999999999</v>
      </c>
      <c r="M12" s="265">
        <f t="shared" si="2"/>
        <v>358.32037586547972</v>
      </c>
      <c r="N12" s="287">
        <f t="shared" si="3"/>
        <v>-553963</v>
      </c>
      <c r="O12" s="265"/>
      <c r="P12" s="249">
        <f>Données!AA12</f>
        <v>140</v>
      </c>
      <c r="Q12" s="284">
        <f>Données!AB12</f>
        <v>98</v>
      </c>
      <c r="R12" s="236">
        <f t="shared" si="8"/>
        <v>154.69999999999999</v>
      </c>
      <c r="S12" s="288">
        <f t="shared" si="4"/>
        <v>0.1000646830530401</v>
      </c>
      <c r="T12" s="273">
        <f t="shared" si="5"/>
        <v>210.55950920245388</v>
      </c>
      <c r="U12" s="273">
        <f t="shared" si="9"/>
        <v>0</v>
      </c>
      <c r="V12" s="287">
        <f t="shared" si="10"/>
        <v>0</v>
      </c>
      <c r="W12" s="340"/>
      <c r="X12" s="236">
        <f t="shared" si="11"/>
        <v>0</v>
      </c>
      <c r="Y12" s="253">
        <f t="shared" si="12"/>
        <v>0</v>
      </c>
    </row>
    <row r="13" spans="1:25" x14ac:dyDescent="0.25">
      <c r="A13" s="111">
        <f>Données!A13</f>
        <v>5406</v>
      </c>
      <c r="B13" s="119" t="str">
        <f>Données!B13</f>
        <v>Lavey-Morcles</v>
      </c>
      <c r="C13" s="252">
        <f>Données!C13</f>
        <v>1024</v>
      </c>
      <c r="D13" s="265"/>
      <c r="E13" s="249">
        <f>Données!X13</f>
        <v>1247</v>
      </c>
      <c r="F13" s="286">
        <f t="shared" si="0"/>
        <v>1.2177734375</v>
      </c>
      <c r="G13" s="265">
        <f t="shared" si="1"/>
        <v>782.92807881773399</v>
      </c>
      <c r="H13" s="273">
        <f t="shared" si="6"/>
        <v>464.07192118226601</v>
      </c>
      <c r="I13" s="287">
        <f t="shared" si="7"/>
        <v>-49483</v>
      </c>
      <c r="J13" s="265"/>
      <c r="K13" s="274">
        <f>Données!Y13</f>
        <v>25</v>
      </c>
      <c r="L13" s="441">
        <f>Données!Z13</f>
        <v>0.82699999999999996</v>
      </c>
      <c r="M13" s="265">
        <f t="shared" si="2"/>
        <v>484.99337289812064</v>
      </c>
      <c r="N13" s="287">
        <f t="shared" si="3"/>
        <v>-12125</v>
      </c>
      <c r="O13" s="265"/>
      <c r="P13" s="249">
        <f>Données!AA13</f>
        <v>144</v>
      </c>
      <c r="Q13" s="284">
        <f>Données!AB13</f>
        <v>5</v>
      </c>
      <c r="R13" s="236">
        <f t="shared" si="8"/>
        <v>144.75</v>
      </c>
      <c r="S13" s="288">
        <f t="shared" si="4"/>
        <v>0.141357421875</v>
      </c>
      <c r="T13" s="273">
        <f t="shared" si="5"/>
        <v>139.46503067484656</v>
      </c>
      <c r="U13" s="273">
        <f t="shared" si="9"/>
        <v>5.2849693251534404</v>
      </c>
      <c r="V13" s="287">
        <f t="shared" si="10"/>
        <v>-22541</v>
      </c>
      <c r="W13" s="340"/>
      <c r="X13" s="236">
        <f t="shared" si="11"/>
        <v>-3198.8130563798218</v>
      </c>
      <c r="Y13" s="253">
        <f t="shared" si="12"/>
        <v>-19342.186943620178</v>
      </c>
    </row>
    <row r="14" spans="1:25" x14ac:dyDescent="0.25">
      <c r="A14" s="111">
        <f>Données!A14</f>
        <v>5407</v>
      </c>
      <c r="B14" s="119" t="str">
        <f>Données!B14</f>
        <v>Leysin</v>
      </c>
      <c r="C14" s="252">
        <f>Données!C14</f>
        <v>3722</v>
      </c>
      <c r="D14" s="265"/>
      <c r="E14" s="249">
        <f>Données!X14</f>
        <v>1489</v>
      </c>
      <c r="F14" s="286">
        <f t="shared" si="0"/>
        <v>0.40005373455131649</v>
      </c>
      <c r="G14" s="265">
        <f t="shared" si="1"/>
        <v>2845.7600677339901</v>
      </c>
      <c r="H14" s="273">
        <f t="shared" si="6"/>
        <v>0</v>
      </c>
      <c r="I14" s="287">
        <f t="shared" si="7"/>
        <v>0</v>
      </c>
      <c r="J14" s="265"/>
      <c r="K14" s="274">
        <f>Données!Y14</f>
        <v>3722</v>
      </c>
      <c r="L14" s="441">
        <f>Données!Z14</f>
        <v>0.70199999999999996</v>
      </c>
      <c r="M14" s="265">
        <f t="shared" si="2"/>
        <v>411.68724035608307</v>
      </c>
      <c r="N14" s="287">
        <f t="shared" si="3"/>
        <v>-1532300</v>
      </c>
      <c r="O14" s="265"/>
      <c r="P14" s="249">
        <f>Données!AA14</f>
        <v>296</v>
      </c>
      <c r="Q14" s="284">
        <f>Données!AB14</f>
        <v>86</v>
      </c>
      <c r="R14" s="236">
        <f t="shared" si="8"/>
        <v>308.89999999999998</v>
      </c>
      <c r="S14" s="288">
        <f t="shared" si="4"/>
        <v>8.2993014508328855E-2</v>
      </c>
      <c r="T14" s="273">
        <f t="shared" si="5"/>
        <v>506.92269938650281</v>
      </c>
      <c r="U14" s="273">
        <f t="shared" si="9"/>
        <v>0</v>
      </c>
      <c r="V14" s="287">
        <f t="shared" si="10"/>
        <v>0</v>
      </c>
      <c r="W14" s="340"/>
      <c r="X14" s="236">
        <f t="shared" si="11"/>
        <v>0</v>
      </c>
      <c r="Y14" s="253">
        <f t="shared" si="12"/>
        <v>0</v>
      </c>
    </row>
    <row r="15" spans="1:25" x14ac:dyDescent="0.25">
      <c r="A15" s="111">
        <f>Données!A15</f>
        <v>5408</v>
      </c>
      <c r="B15" s="119" t="str">
        <f>Données!B15</f>
        <v>Noville</v>
      </c>
      <c r="C15" s="252">
        <f>Données!C15</f>
        <v>1214</v>
      </c>
      <c r="D15" s="265"/>
      <c r="E15" s="249">
        <f>Données!X15</f>
        <v>886</v>
      </c>
      <c r="F15" s="286">
        <f t="shared" si="0"/>
        <v>0.72981878088962104</v>
      </c>
      <c r="G15" s="265">
        <f t="shared" si="1"/>
        <v>928.19793719211827</v>
      </c>
      <c r="H15" s="273">
        <f t="shared" si="6"/>
        <v>0</v>
      </c>
      <c r="I15" s="287">
        <f t="shared" si="7"/>
        <v>0</v>
      </c>
      <c r="J15" s="265"/>
      <c r="K15" s="274">
        <f>Données!Y15</f>
        <v>0</v>
      </c>
      <c r="L15" s="441">
        <f>Données!Z15</f>
        <v>0.01</v>
      </c>
      <c r="M15" s="265">
        <f t="shared" si="2"/>
        <v>5.8644906033630075</v>
      </c>
      <c r="N15" s="287">
        <f t="shared" si="3"/>
        <v>0</v>
      </c>
      <c r="O15" s="265"/>
      <c r="P15" s="249">
        <f>Données!AA15</f>
        <v>156</v>
      </c>
      <c r="Q15" s="284">
        <f>Données!AB15</f>
        <v>75</v>
      </c>
      <c r="R15" s="236">
        <f t="shared" si="8"/>
        <v>167.25</v>
      </c>
      <c r="S15" s="288">
        <f t="shared" si="4"/>
        <v>0.1377677100494234</v>
      </c>
      <c r="T15" s="273">
        <f t="shared" si="5"/>
        <v>165.34233128834347</v>
      </c>
      <c r="U15" s="273">
        <f t="shared" si="9"/>
        <v>1.9076687116565267</v>
      </c>
      <c r="V15" s="287">
        <f t="shared" si="10"/>
        <v>-8136</v>
      </c>
      <c r="W15" s="340"/>
      <c r="X15" s="236">
        <f t="shared" si="11"/>
        <v>-8136</v>
      </c>
      <c r="Y15" s="253">
        <f t="shared" si="12"/>
        <v>0</v>
      </c>
    </row>
    <row r="16" spans="1:25" x14ac:dyDescent="0.25">
      <c r="A16" s="111">
        <f>Données!A16</f>
        <v>5409</v>
      </c>
      <c r="B16" s="119" t="str">
        <f>Données!B16</f>
        <v>Ollon</v>
      </c>
      <c r="C16" s="252">
        <f>Données!C16</f>
        <v>8302</v>
      </c>
      <c r="D16" s="265"/>
      <c r="E16" s="249">
        <f>Données!X16</f>
        <v>5746</v>
      </c>
      <c r="F16" s="286">
        <f t="shared" si="0"/>
        <v>0.69212238014936156</v>
      </c>
      <c r="G16" s="265">
        <f t="shared" si="1"/>
        <v>6347.528232758621</v>
      </c>
      <c r="H16" s="273">
        <f t="shared" si="6"/>
        <v>0</v>
      </c>
      <c r="I16" s="287">
        <f t="shared" si="7"/>
        <v>0</v>
      </c>
      <c r="J16" s="265"/>
      <c r="K16" s="274">
        <f>Données!Y16</f>
        <v>4178</v>
      </c>
      <c r="L16" s="441">
        <f>Données!Z16</f>
        <v>0.52800000000000002</v>
      </c>
      <c r="M16" s="265">
        <f t="shared" si="2"/>
        <v>309.64510385756677</v>
      </c>
      <c r="N16" s="287">
        <f t="shared" si="3"/>
        <v>-1293697</v>
      </c>
      <c r="O16" s="265"/>
      <c r="P16" s="249">
        <f>Données!AA16</f>
        <v>666</v>
      </c>
      <c r="Q16" s="284">
        <f>Données!AB16</f>
        <v>194</v>
      </c>
      <c r="R16" s="236">
        <f t="shared" si="8"/>
        <v>695.1</v>
      </c>
      <c r="S16" s="288">
        <f t="shared" si="4"/>
        <v>8.3726812816188878E-2</v>
      </c>
      <c r="T16" s="273">
        <f t="shared" si="5"/>
        <v>1130.7018404907969</v>
      </c>
      <c r="U16" s="273">
        <f t="shared" si="9"/>
        <v>0</v>
      </c>
      <c r="V16" s="287">
        <f t="shared" si="10"/>
        <v>0</v>
      </c>
      <c r="W16" s="340"/>
      <c r="X16" s="236">
        <f t="shared" si="11"/>
        <v>0</v>
      </c>
      <c r="Y16" s="253">
        <f t="shared" si="12"/>
        <v>0</v>
      </c>
    </row>
    <row r="17" spans="1:25" x14ac:dyDescent="0.25">
      <c r="A17" s="111">
        <f>Données!A17</f>
        <v>5410</v>
      </c>
      <c r="B17" s="119" t="str">
        <f>Données!B17</f>
        <v>Ormont-Dessous</v>
      </c>
      <c r="C17" s="252">
        <f>Données!C17</f>
        <v>1261</v>
      </c>
      <c r="D17" s="265"/>
      <c r="E17" s="249">
        <f>Données!X17</f>
        <v>5679</v>
      </c>
      <c r="F17" s="286">
        <f t="shared" si="0"/>
        <v>4.5035685963521015</v>
      </c>
      <c r="G17" s="265">
        <f t="shared" si="1"/>
        <v>964.1331126847291</v>
      </c>
      <c r="H17" s="273">
        <f t="shared" si="6"/>
        <v>4714.866887315271</v>
      </c>
      <c r="I17" s="287">
        <f t="shared" si="7"/>
        <v>-502733</v>
      </c>
      <c r="J17" s="265"/>
      <c r="K17" s="274">
        <f>Données!Y17</f>
        <v>1261</v>
      </c>
      <c r="L17" s="441">
        <f>Données!Z17</f>
        <v>0.623</v>
      </c>
      <c r="M17" s="265">
        <f t="shared" si="2"/>
        <v>365.35776458951534</v>
      </c>
      <c r="N17" s="287">
        <f t="shared" si="3"/>
        <v>-460716</v>
      </c>
      <c r="O17" s="265"/>
      <c r="P17" s="249">
        <f>Données!AA17</f>
        <v>121</v>
      </c>
      <c r="Q17" s="284">
        <f>Données!AB17</f>
        <v>76</v>
      </c>
      <c r="R17" s="236">
        <f t="shared" si="8"/>
        <v>132.4</v>
      </c>
      <c r="S17" s="288">
        <f t="shared" si="4"/>
        <v>0.10499603489294211</v>
      </c>
      <c r="T17" s="273">
        <f t="shared" si="5"/>
        <v>171.74355828220851</v>
      </c>
      <c r="U17" s="273">
        <f t="shared" si="9"/>
        <v>0</v>
      </c>
      <c r="V17" s="287">
        <f t="shared" si="10"/>
        <v>0</v>
      </c>
      <c r="W17" s="340"/>
      <c r="X17" s="236">
        <f t="shared" si="11"/>
        <v>0</v>
      </c>
      <c r="Y17" s="253">
        <f t="shared" si="12"/>
        <v>0</v>
      </c>
    </row>
    <row r="18" spans="1:25" x14ac:dyDescent="0.25">
      <c r="A18" s="111">
        <f>Données!A18</f>
        <v>5411</v>
      </c>
      <c r="B18" s="119" t="str">
        <f>Données!B18</f>
        <v>Ormont-Dessus</v>
      </c>
      <c r="C18" s="252">
        <f>Données!C18</f>
        <v>1440</v>
      </c>
      <c r="D18" s="265"/>
      <c r="E18" s="249">
        <f>Données!X18</f>
        <v>4328</v>
      </c>
      <c r="F18" s="286">
        <f t="shared" si="0"/>
        <v>3.0055555555555555</v>
      </c>
      <c r="G18" s="265">
        <f t="shared" si="1"/>
        <v>1100.9926108374384</v>
      </c>
      <c r="H18" s="273">
        <f t="shared" si="6"/>
        <v>3227.0073891625616</v>
      </c>
      <c r="I18" s="287">
        <f t="shared" si="7"/>
        <v>-344086</v>
      </c>
      <c r="J18" s="265"/>
      <c r="K18" s="274">
        <f>Données!Y18</f>
        <v>1440</v>
      </c>
      <c r="L18" s="441">
        <f>Données!Z18</f>
        <v>0.72699999999999998</v>
      </c>
      <c r="M18" s="265">
        <f t="shared" si="2"/>
        <v>426.3484668644906</v>
      </c>
      <c r="N18" s="287">
        <f t="shared" si="3"/>
        <v>-613942</v>
      </c>
      <c r="O18" s="265"/>
      <c r="P18" s="249">
        <f>Données!AA18</f>
        <v>131</v>
      </c>
      <c r="Q18" s="284">
        <f>Données!AB18</f>
        <v>80</v>
      </c>
      <c r="R18" s="236">
        <f t="shared" si="8"/>
        <v>143</v>
      </c>
      <c r="S18" s="288">
        <f t="shared" si="4"/>
        <v>9.930555555555555E-2</v>
      </c>
      <c r="T18" s="273">
        <f t="shared" si="5"/>
        <v>196.12269938650297</v>
      </c>
      <c r="U18" s="273">
        <f t="shared" si="9"/>
        <v>0</v>
      </c>
      <c r="V18" s="287">
        <f t="shared" si="10"/>
        <v>0</v>
      </c>
      <c r="W18" s="340"/>
      <c r="X18" s="236">
        <f t="shared" si="11"/>
        <v>0</v>
      </c>
      <c r="Y18" s="253">
        <f t="shared" si="12"/>
        <v>0</v>
      </c>
    </row>
    <row r="19" spans="1:25" x14ac:dyDescent="0.25">
      <c r="A19" s="111">
        <f>Données!A19</f>
        <v>5412</v>
      </c>
      <c r="B19" s="119" t="str">
        <f>Données!B19</f>
        <v>Rennaz</v>
      </c>
      <c r="C19" s="252">
        <f>Données!C19</f>
        <v>935</v>
      </c>
      <c r="D19" s="265"/>
      <c r="E19" s="249">
        <f>Données!X19</f>
        <v>216</v>
      </c>
      <c r="F19" s="286">
        <f t="shared" si="0"/>
        <v>0.23101604278074866</v>
      </c>
      <c r="G19" s="265">
        <f t="shared" si="1"/>
        <v>714.88061884236458</v>
      </c>
      <c r="H19" s="273">
        <f t="shared" si="6"/>
        <v>0</v>
      </c>
      <c r="I19" s="287">
        <f t="shared" si="7"/>
        <v>0</v>
      </c>
      <c r="J19" s="265"/>
      <c r="K19" s="274">
        <f>Données!Y19</f>
        <v>0</v>
      </c>
      <c r="L19" s="441">
        <f>Données!Z19</f>
        <v>0.02</v>
      </c>
      <c r="M19" s="265">
        <f t="shared" si="2"/>
        <v>11.728981206726015</v>
      </c>
      <c r="N19" s="287">
        <f t="shared" si="3"/>
        <v>0</v>
      </c>
      <c r="O19" s="265"/>
      <c r="P19" s="249">
        <f>Données!AA19</f>
        <v>120</v>
      </c>
      <c r="Q19" s="284">
        <f>Données!AB19</f>
        <v>79</v>
      </c>
      <c r="R19" s="236">
        <f t="shared" si="8"/>
        <v>131.85</v>
      </c>
      <c r="S19" s="288">
        <f t="shared" si="4"/>
        <v>0.14101604278074867</v>
      </c>
      <c r="T19" s="273">
        <f t="shared" si="5"/>
        <v>127.34355828220853</v>
      </c>
      <c r="U19" s="273">
        <f t="shared" si="9"/>
        <v>4.5064417177914606</v>
      </c>
      <c r="V19" s="287">
        <f t="shared" si="10"/>
        <v>-19220</v>
      </c>
      <c r="W19" s="340"/>
      <c r="X19" s="236">
        <f t="shared" si="11"/>
        <v>-19220</v>
      </c>
      <c r="Y19" s="253">
        <f t="shared" si="12"/>
        <v>0</v>
      </c>
    </row>
    <row r="20" spans="1:25" x14ac:dyDescent="0.25">
      <c r="A20" s="111">
        <f>Données!A20</f>
        <v>5413</v>
      </c>
      <c r="B20" s="119" t="str">
        <f>Données!B20</f>
        <v>Roche</v>
      </c>
      <c r="C20" s="252">
        <f>Données!C20</f>
        <v>2035</v>
      </c>
      <c r="D20" s="265"/>
      <c r="E20" s="249">
        <f>Données!X20</f>
        <v>617</v>
      </c>
      <c r="F20" s="286">
        <f t="shared" si="0"/>
        <v>0.30319410319410317</v>
      </c>
      <c r="G20" s="265">
        <f t="shared" si="1"/>
        <v>1555.9166410098521</v>
      </c>
      <c r="H20" s="273">
        <f t="shared" si="6"/>
        <v>0</v>
      </c>
      <c r="I20" s="287">
        <f t="shared" si="7"/>
        <v>0</v>
      </c>
      <c r="J20" s="265"/>
      <c r="K20" s="274">
        <f>Données!Y20</f>
        <v>0</v>
      </c>
      <c r="L20" s="441">
        <f>Données!Z20</f>
        <v>0.29799999999999999</v>
      </c>
      <c r="M20" s="265">
        <f t="shared" si="2"/>
        <v>174.76181998021761</v>
      </c>
      <c r="N20" s="287">
        <f t="shared" si="3"/>
        <v>0</v>
      </c>
      <c r="O20" s="265"/>
      <c r="P20" s="249">
        <f>Données!AA20</f>
        <v>305</v>
      </c>
      <c r="Q20" s="284">
        <f>Données!AB20</f>
        <v>86</v>
      </c>
      <c r="R20" s="236">
        <f t="shared" si="8"/>
        <v>317.89999999999998</v>
      </c>
      <c r="S20" s="288">
        <f t="shared" si="4"/>
        <v>0.1562162162162162</v>
      </c>
      <c r="T20" s="273">
        <f t="shared" si="5"/>
        <v>277.15950920245388</v>
      </c>
      <c r="U20" s="273">
        <f t="shared" si="9"/>
        <v>40.740490797546101</v>
      </c>
      <c r="V20" s="287">
        <f t="shared" si="10"/>
        <v>-173762</v>
      </c>
      <c r="W20" s="340"/>
      <c r="X20" s="236">
        <f t="shared" si="11"/>
        <v>-55019.584569732935</v>
      </c>
      <c r="Y20" s="253">
        <f t="shared" si="12"/>
        <v>-118742.41543026706</v>
      </c>
    </row>
    <row r="21" spans="1:25" x14ac:dyDescent="0.25">
      <c r="A21" s="111">
        <f>Données!A21</f>
        <v>5414</v>
      </c>
      <c r="B21" s="119" t="str">
        <f>Données!B21</f>
        <v>Villeneuve</v>
      </c>
      <c r="C21" s="252">
        <f>Données!C21</f>
        <v>6073</v>
      </c>
      <c r="D21" s="265"/>
      <c r="E21" s="249">
        <f>Données!X21</f>
        <v>2899</v>
      </c>
      <c r="F21" s="286">
        <f t="shared" si="0"/>
        <v>0.47735880125144081</v>
      </c>
      <c r="G21" s="265">
        <f t="shared" si="1"/>
        <v>4643.2834205665022</v>
      </c>
      <c r="H21" s="273">
        <f t="shared" si="6"/>
        <v>0</v>
      </c>
      <c r="I21" s="287">
        <f t="shared" si="7"/>
        <v>0</v>
      </c>
      <c r="J21" s="265"/>
      <c r="K21" s="274">
        <f>Données!Y21</f>
        <v>0</v>
      </c>
      <c r="L21" s="441">
        <f>Données!Z21</f>
        <v>0.82099999999999995</v>
      </c>
      <c r="M21" s="265">
        <f t="shared" si="2"/>
        <v>481.47467853610283</v>
      </c>
      <c r="N21" s="287">
        <f t="shared" si="3"/>
        <v>0</v>
      </c>
      <c r="O21" s="265"/>
      <c r="P21" s="249">
        <f>Données!AA21</f>
        <v>699</v>
      </c>
      <c r="Q21" s="284">
        <f>Données!AB21</f>
        <v>32</v>
      </c>
      <c r="R21" s="236">
        <f t="shared" si="8"/>
        <v>703.8</v>
      </c>
      <c r="S21" s="288">
        <f t="shared" si="4"/>
        <v>0.1158900049398979</v>
      </c>
      <c r="T21" s="273">
        <f t="shared" si="5"/>
        <v>827.12024539877257</v>
      </c>
      <c r="U21" s="273">
        <f t="shared" si="9"/>
        <v>0</v>
      </c>
      <c r="V21" s="287">
        <f t="shared" si="10"/>
        <v>0</v>
      </c>
      <c r="W21" s="340"/>
      <c r="X21" s="236">
        <f t="shared" si="11"/>
        <v>0</v>
      </c>
      <c r="Y21" s="253">
        <f t="shared" si="12"/>
        <v>0</v>
      </c>
    </row>
    <row r="22" spans="1:25" x14ac:dyDescent="0.25">
      <c r="A22" s="111">
        <f>Données!A22</f>
        <v>5415</v>
      </c>
      <c r="B22" s="119" t="str">
        <f>Données!B22</f>
        <v>Yvorne</v>
      </c>
      <c r="C22" s="252">
        <f>Données!C22</f>
        <v>1119</v>
      </c>
      <c r="D22" s="265"/>
      <c r="E22" s="249">
        <f>Données!X22</f>
        <v>1178</v>
      </c>
      <c r="F22" s="286">
        <f t="shared" si="0"/>
        <v>1.0527256478999107</v>
      </c>
      <c r="G22" s="265">
        <f t="shared" si="1"/>
        <v>855.56300800492613</v>
      </c>
      <c r="H22" s="273">
        <f t="shared" si="6"/>
        <v>322.43699199507387</v>
      </c>
      <c r="I22" s="287">
        <f t="shared" si="7"/>
        <v>-34381</v>
      </c>
      <c r="J22" s="265"/>
      <c r="K22" s="274">
        <f>Données!Y22</f>
        <v>0</v>
      </c>
      <c r="L22" s="441">
        <f>Données!Z22</f>
        <v>0.32800000000000001</v>
      </c>
      <c r="M22" s="265">
        <f t="shared" si="2"/>
        <v>192.35529179030664</v>
      </c>
      <c r="N22" s="287">
        <f t="shared" si="3"/>
        <v>0</v>
      </c>
      <c r="O22" s="265"/>
      <c r="P22" s="249">
        <f>Données!AA22</f>
        <v>127</v>
      </c>
      <c r="Q22" s="284">
        <f>Données!AB22</f>
        <v>36</v>
      </c>
      <c r="R22" s="236">
        <f t="shared" si="8"/>
        <v>132.4</v>
      </c>
      <c r="S22" s="288">
        <f t="shared" si="4"/>
        <v>0.11831992850759607</v>
      </c>
      <c r="T22" s="273">
        <f t="shared" si="5"/>
        <v>152.40368098159502</v>
      </c>
      <c r="U22" s="273">
        <f t="shared" si="9"/>
        <v>0</v>
      </c>
      <c r="V22" s="287">
        <f t="shared" si="10"/>
        <v>0</v>
      </c>
      <c r="W22" s="340"/>
      <c r="X22" s="236">
        <f t="shared" si="11"/>
        <v>0</v>
      </c>
      <c r="Y22" s="253">
        <f t="shared" si="12"/>
        <v>0</v>
      </c>
    </row>
    <row r="23" spans="1:25" x14ac:dyDescent="0.25">
      <c r="A23" s="111">
        <f>Données!A23</f>
        <v>5422</v>
      </c>
      <c r="B23" s="119" t="str">
        <f>Données!B23</f>
        <v>Aubonne</v>
      </c>
      <c r="C23" s="252">
        <f>Données!C23</f>
        <v>3896</v>
      </c>
      <c r="D23" s="265"/>
      <c r="E23" s="249">
        <f>Données!X23</f>
        <v>1425</v>
      </c>
      <c r="F23" s="286">
        <f t="shared" si="0"/>
        <v>0.36575975359342916</v>
      </c>
      <c r="G23" s="265">
        <f t="shared" si="1"/>
        <v>2978.7966748768472</v>
      </c>
      <c r="H23" s="273">
        <f t="shared" si="6"/>
        <v>0</v>
      </c>
      <c r="I23" s="287">
        <f t="shared" si="7"/>
        <v>0</v>
      </c>
      <c r="J23" s="265"/>
      <c r="K23" s="274">
        <f>Données!Y23</f>
        <v>0</v>
      </c>
      <c r="L23" s="441">
        <f>Données!Z23</f>
        <v>0.112</v>
      </c>
      <c r="M23" s="265">
        <f t="shared" si="2"/>
        <v>65.682294757665687</v>
      </c>
      <c r="N23" s="287">
        <f t="shared" si="3"/>
        <v>0</v>
      </c>
      <c r="O23" s="265"/>
      <c r="P23" s="249">
        <f>Données!AA23</f>
        <v>422</v>
      </c>
      <c r="Q23" s="284">
        <f>Données!AB23</f>
        <v>92</v>
      </c>
      <c r="R23" s="236">
        <f t="shared" si="8"/>
        <v>435.8</v>
      </c>
      <c r="S23" s="288">
        <f t="shared" si="4"/>
        <v>0.11185831622176591</v>
      </c>
      <c r="T23" s="273">
        <f t="shared" si="5"/>
        <v>530.62085889570528</v>
      </c>
      <c r="U23" s="273">
        <f t="shared" si="9"/>
        <v>0</v>
      </c>
      <c r="V23" s="287">
        <f t="shared" si="10"/>
        <v>0</v>
      </c>
      <c r="W23" s="340"/>
      <c r="X23" s="236">
        <f t="shared" si="11"/>
        <v>0</v>
      </c>
      <c r="Y23" s="253">
        <f t="shared" si="12"/>
        <v>0</v>
      </c>
    </row>
    <row r="24" spans="1:25" x14ac:dyDescent="0.25">
      <c r="A24" s="111">
        <f>Données!A24</f>
        <v>5423</v>
      </c>
      <c r="B24" s="119" t="str">
        <f>Données!B24</f>
        <v>Ballens</v>
      </c>
      <c r="C24" s="252">
        <f>Données!C24</f>
        <v>580</v>
      </c>
      <c r="D24" s="265"/>
      <c r="E24" s="249">
        <f>Données!X24</f>
        <v>832</v>
      </c>
      <c r="F24" s="286">
        <f t="shared" si="0"/>
        <v>1.4344827586206896</v>
      </c>
      <c r="G24" s="265">
        <f t="shared" si="1"/>
        <v>443.45535714285717</v>
      </c>
      <c r="H24" s="273">
        <f t="shared" si="6"/>
        <v>388.54464285714283</v>
      </c>
      <c r="I24" s="287">
        <f t="shared" si="7"/>
        <v>-41429</v>
      </c>
      <c r="J24" s="265"/>
      <c r="K24" s="274">
        <f>Données!Y24</f>
        <v>0</v>
      </c>
      <c r="L24" s="441">
        <f>Données!Z24</f>
        <v>1.7000000000000001E-2</v>
      </c>
      <c r="M24" s="265">
        <f t="shared" si="2"/>
        <v>9.969634025717113</v>
      </c>
      <c r="N24" s="287">
        <f t="shared" si="3"/>
        <v>0</v>
      </c>
      <c r="O24" s="265"/>
      <c r="P24" s="249">
        <f>Données!AA24</f>
        <v>67</v>
      </c>
      <c r="Q24" s="284">
        <f>Données!AB24</f>
        <v>67</v>
      </c>
      <c r="R24" s="236">
        <f t="shared" si="8"/>
        <v>77.05</v>
      </c>
      <c r="S24" s="288">
        <f t="shared" si="4"/>
        <v>0.13284482758620689</v>
      </c>
      <c r="T24" s="273">
        <f t="shared" si="5"/>
        <v>78.993865030674812</v>
      </c>
      <c r="U24" s="273">
        <f t="shared" si="9"/>
        <v>0</v>
      </c>
      <c r="V24" s="287">
        <f t="shared" si="10"/>
        <v>0</v>
      </c>
      <c r="W24" s="340"/>
      <c r="X24" s="236">
        <f t="shared" si="11"/>
        <v>0</v>
      </c>
      <c r="Y24" s="253">
        <f t="shared" si="12"/>
        <v>0</v>
      </c>
    </row>
    <row r="25" spans="1:25" x14ac:dyDescent="0.25">
      <c r="A25" s="111">
        <f>Données!A25</f>
        <v>5424</v>
      </c>
      <c r="B25" s="119" t="str">
        <f>Données!B25</f>
        <v>Berolle</v>
      </c>
      <c r="C25" s="252">
        <f>Données!C25</f>
        <v>300</v>
      </c>
      <c r="D25" s="265"/>
      <c r="E25" s="249">
        <f>Données!X25</f>
        <v>963</v>
      </c>
      <c r="F25" s="286">
        <f t="shared" si="0"/>
        <v>3.21</v>
      </c>
      <c r="G25" s="265">
        <f t="shared" si="1"/>
        <v>229.37346059113301</v>
      </c>
      <c r="H25" s="273">
        <f t="shared" si="6"/>
        <v>733.62653940886696</v>
      </c>
      <c r="I25" s="287">
        <f t="shared" si="7"/>
        <v>-78224</v>
      </c>
      <c r="J25" s="265"/>
      <c r="K25" s="274">
        <f>Données!Y25</f>
        <v>296</v>
      </c>
      <c r="L25" s="441">
        <f>Données!Z25</f>
        <v>0.26100000000000001</v>
      </c>
      <c r="M25" s="265">
        <f t="shared" si="2"/>
        <v>153.06320474777448</v>
      </c>
      <c r="N25" s="287">
        <f t="shared" si="3"/>
        <v>-45307</v>
      </c>
      <c r="O25" s="265"/>
      <c r="P25" s="249">
        <f>Données!AA25</f>
        <v>35</v>
      </c>
      <c r="Q25" s="284">
        <f>Données!AB25</f>
        <v>35</v>
      </c>
      <c r="R25" s="236">
        <f t="shared" si="8"/>
        <v>40.25</v>
      </c>
      <c r="S25" s="288">
        <f t="shared" si="4"/>
        <v>0.13416666666666666</v>
      </c>
      <c r="T25" s="273">
        <f t="shared" si="5"/>
        <v>40.858895705521455</v>
      </c>
      <c r="U25" s="273">
        <f t="shared" si="9"/>
        <v>0</v>
      </c>
      <c r="V25" s="287">
        <f t="shared" si="10"/>
        <v>0</v>
      </c>
      <c r="W25" s="340"/>
      <c r="X25" s="236">
        <f t="shared" si="11"/>
        <v>0</v>
      </c>
      <c r="Y25" s="253">
        <f t="shared" si="12"/>
        <v>0</v>
      </c>
    </row>
    <row r="26" spans="1:25" x14ac:dyDescent="0.25">
      <c r="A26" s="111">
        <f>Données!A26</f>
        <v>5425</v>
      </c>
      <c r="B26" s="119" t="str">
        <f>Données!B26</f>
        <v>Bière</v>
      </c>
      <c r="C26" s="252">
        <f>Données!C26</f>
        <v>1701</v>
      </c>
      <c r="D26" s="265"/>
      <c r="E26" s="249">
        <f>Données!X26</f>
        <v>2432</v>
      </c>
      <c r="F26" s="286">
        <f t="shared" si="0"/>
        <v>1.4297472075249853</v>
      </c>
      <c r="G26" s="265">
        <f t="shared" si="1"/>
        <v>1300.5475215517242</v>
      </c>
      <c r="H26" s="273">
        <f t="shared" si="6"/>
        <v>1131.4524784482758</v>
      </c>
      <c r="I26" s="287">
        <f t="shared" si="7"/>
        <v>-120643</v>
      </c>
      <c r="J26" s="265"/>
      <c r="K26" s="274">
        <f>Données!Y26</f>
        <v>11</v>
      </c>
      <c r="L26" s="441">
        <f>Données!Z26</f>
        <v>0.184</v>
      </c>
      <c r="M26" s="265">
        <f t="shared" si="2"/>
        <v>107.90662710187932</v>
      </c>
      <c r="N26" s="287">
        <f t="shared" si="3"/>
        <v>-1187</v>
      </c>
      <c r="O26" s="265"/>
      <c r="P26" s="249">
        <f>Données!AA26</f>
        <v>201</v>
      </c>
      <c r="Q26" s="284">
        <f>Données!AB26</f>
        <v>79</v>
      </c>
      <c r="R26" s="236">
        <f t="shared" si="8"/>
        <v>212.85</v>
      </c>
      <c r="S26" s="288">
        <f t="shared" si="4"/>
        <v>0.12513227513227512</v>
      </c>
      <c r="T26" s="273">
        <f t="shared" si="5"/>
        <v>231.66993865030665</v>
      </c>
      <c r="U26" s="273">
        <f t="shared" si="9"/>
        <v>0</v>
      </c>
      <c r="V26" s="287">
        <f t="shared" si="10"/>
        <v>0</v>
      </c>
      <c r="W26" s="340"/>
      <c r="X26" s="236">
        <f t="shared" si="11"/>
        <v>0</v>
      </c>
      <c r="Y26" s="253">
        <f t="shared" si="12"/>
        <v>0</v>
      </c>
    </row>
    <row r="27" spans="1:25" x14ac:dyDescent="0.25">
      <c r="A27" s="111">
        <f>Données!A27</f>
        <v>5426</v>
      </c>
      <c r="B27" s="119" t="str">
        <f>Données!B27</f>
        <v>Bougy-Villars</v>
      </c>
      <c r="C27" s="252">
        <f>Données!C27</f>
        <v>493</v>
      </c>
      <c r="D27" s="265"/>
      <c r="E27" s="249">
        <f>Données!X27</f>
        <v>176</v>
      </c>
      <c r="F27" s="286">
        <f t="shared" si="0"/>
        <v>0.35699797160243407</v>
      </c>
      <c r="G27" s="265">
        <f t="shared" si="1"/>
        <v>376.93705357142858</v>
      </c>
      <c r="H27" s="273">
        <f t="shared" si="6"/>
        <v>0</v>
      </c>
      <c r="I27" s="287">
        <f t="shared" si="7"/>
        <v>0</v>
      </c>
      <c r="J27" s="265"/>
      <c r="K27" s="274">
        <f>Données!Y27</f>
        <v>0</v>
      </c>
      <c r="L27" s="441">
        <f>Données!Z27</f>
        <v>0.15</v>
      </c>
      <c r="M27" s="265">
        <f t="shared" si="2"/>
        <v>87.967359050445097</v>
      </c>
      <c r="N27" s="287">
        <f t="shared" si="3"/>
        <v>0</v>
      </c>
      <c r="O27" s="265"/>
      <c r="P27" s="249">
        <f>Données!AA27</f>
        <v>25</v>
      </c>
      <c r="Q27" s="284">
        <f>Données!AB27</f>
        <v>14</v>
      </c>
      <c r="R27" s="236">
        <f t="shared" si="8"/>
        <v>27.1</v>
      </c>
      <c r="S27" s="288">
        <f t="shared" si="4"/>
        <v>5.4969574036511162E-2</v>
      </c>
      <c r="T27" s="273">
        <f t="shared" si="5"/>
        <v>67.144785276073591</v>
      </c>
      <c r="U27" s="273">
        <f t="shared" si="9"/>
        <v>0</v>
      </c>
      <c r="V27" s="287">
        <f t="shared" si="10"/>
        <v>0</v>
      </c>
      <c r="W27" s="340"/>
      <c r="X27" s="236">
        <f t="shared" si="11"/>
        <v>0</v>
      </c>
      <c r="Y27" s="253">
        <f t="shared" si="12"/>
        <v>0</v>
      </c>
    </row>
    <row r="28" spans="1:25" x14ac:dyDescent="0.25">
      <c r="A28" s="111">
        <f>Données!A28</f>
        <v>5427</v>
      </c>
      <c r="B28" s="119" t="str">
        <f>Données!B28</f>
        <v>Féchy</v>
      </c>
      <c r="C28" s="252">
        <f>Données!C28</f>
        <v>906</v>
      </c>
      <c r="D28" s="265"/>
      <c r="E28" s="249">
        <f>Données!X28</f>
        <v>267</v>
      </c>
      <c r="F28" s="286">
        <f t="shared" si="0"/>
        <v>0.29470198675496689</v>
      </c>
      <c r="G28" s="265">
        <f t="shared" si="1"/>
        <v>692.70785098522163</v>
      </c>
      <c r="H28" s="273">
        <f t="shared" si="6"/>
        <v>0</v>
      </c>
      <c r="I28" s="287">
        <f t="shared" si="7"/>
        <v>0</v>
      </c>
      <c r="J28" s="265"/>
      <c r="K28" s="274">
        <f>Données!Y28</f>
        <v>0</v>
      </c>
      <c r="L28" s="441">
        <f>Données!Z28</f>
        <v>7.1999999999999995E-2</v>
      </c>
      <c r="M28" s="265">
        <f t="shared" si="2"/>
        <v>42.22433234421365</v>
      </c>
      <c r="N28" s="287">
        <f t="shared" si="3"/>
        <v>0</v>
      </c>
      <c r="O28" s="265"/>
      <c r="P28" s="249">
        <f>Données!AA28</f>
        <v>92</v>
      </c>
      <c r="Q28" s="284">
        <f>Données!AB28</f>
        <v>54</v>
      </c>
      <c r="R28" s="236">
        <f t="shared" si="8"/>
        <v>100.1</v>
      </c>
      <c r="S28" s="288">
        <f t="shared" si="4"/>
        <v>0.11048565121412803</v>
      </c>
      <c r="T28" s="273">
        <f t="shared" si="5"/>
        <v>123.39386503067479</v>
      </c>
      <c r="U28" s="273">
        <f t="shared" si="9"/>
        <v>0</v>
      </c>
      <c r="V28" s="287">
        <f t="shared" si="10"/>
        <v>0</v>
      </c>
      <c r="W28" s="340"/>
      <c r="X28" s="236">
        <f t="shared" si="11"/>
        <v>0</v>
      </c>
      <c r="Y28" s="253">
        <f t="shared" si="12"/>
        <v>0</v>
      </c>
    </row>
    <row r="29" spans="1:25" x14ac:dyDescent="0.25">
      <c r="A29" s="111">
        <f>Données!A29</f>
        <v>5428</v>
      </c>
      <c r="B29" s="119" t="str">
        <f>Données!B29</f>
        <v>Gimel</v>
      </c>
      <c r="C29" s="252">
        <f>Données!C29</f>
        <v>2453</v>
      </c>
      <c r="D29" s="265"/>
      <c r="E29" s="249">
        <f>Données!X29</f>
        <v>1881</v>
      </c>
      <c r="F29" s="286">
        <f t="shared" si="0"/>
        <v>0.76681614349775784</v>
      </c>
      <c r="G29" s="265">
        <f t="shared" si="1"/>
        <v>1875.5103294334976</v>
      </c>
      <c r="H29" s="273">
        <f t="shared" si="6"/>
        <v>5.4896705665023546</v>
      </c>
      <c r="I29" s="287">
        <f t="shared" si="7"/>
        <v>-585</v>
      </c>
      <c r="J29" s="265"/>
      <c r="K29" s="274">
        <f>Données!Y29</f>
        <v>720</v>
      </c>
      <c r="L29" s="441">
        <f>Données!Z29</f>
        <v>0.157</v>
      </c>
      <c r="M29" s="265">
        <f t="shared" si="2"/>
        <v>92.072502472799215</v>
      </c>
      <c r="N29" s="287">
        <f t="shared" si="3"/>
        <v>-66292</v>
      </c>
      <c r="O29" s="265"/>
      <c r="P29" s="249">
        <f>Données!AA29</f>
        <v>337</v>
      </c>
      <c r="Q29" s="284">
        <f>Données!AB29</f>
        <v>86</v>
      </c>
      <c r="R29" s="236">
        <f t="shared" si="8"/>
        <v>349.9</v>
      </c>
      <c r="S29" s="288">
        <f t="shared" si="4"/>
        <v>0.14264166326946595</v>
      </c>
      <c r="T29" s="273">
        <f t="shared" si="5"/>
        <v>334.08957055214711</v>
      </c>
      <c r="U29" s="273">
        <f t="shared" si="9"/>
        <v>15.810429447852869</v>
      </c>
      <c r="V29" s="287">
        <f t="shared" si="10"/>
        <v>-67433</v>
      </c>
      <c r="W29" s="340"/>
      <c r="X29" s="236">
        <f t="shared" si="11"/>
        <v>-55019.584569732935</v>
      </c>
      <c r="Y29" s="253">
        <f t="shared" si="12"/>
        <v>-12413.415430267065</v>
      </c>
    </row>
    <row r="30" spans="1:25" x14ac:dyDescent="0.25">
      <c r="A30" s="111">
        <f>Données!A30</f>
        <v>5429</v>
      </c>
      <c r="B30" s="119" t="str">
        <f>Données!B30</f>
        <v>Longirod</v>
      </c>
      <c r="C30" s="252">
        <f>Données!C30</f>
        <v>558</v>
      </c>
      <c r="D30" s="265"/>
      <c r="E30" s="249">
        <f>Données!X30</f>
        <v>945</v>
      </c>
      <c r="F30" s="286">
        <f t="shared" si="0"/>
        <v>1.6935483870967742</v>
      </c>
      <c r="G30" s="265">
        <f t="shared" si="1"/>
        <v>426.63463669950738</v>
      </c>
      <c r="H30" s="273">
        <f t="shared" si="6"/>
        <v>518.36536330049262</v>
      </c>
      <c r="I30" s="287">
        <f t="shared" si="7"/>
        <v>-55272</v>
      </c>
      <c r="J30" s="265"/>
      <c r="K30" s="274">
        <f>Données!Y30</f>
        <v>558</v>
      </c>
      <c r="L30" s="441">
        <f>Données!Z30</f>
        <v>0.14599999999999999</v>
      </c>
      <c r="M30" s="265">
        <f t="shared" si="2"/>
        <v>85.621562809099899</v>
      </c>
      <c r="N30" s="287">
        <f t="shared" si="3"/>
        <v>-47777</v>
      </c>
      <c r="O30" s="265"/>
      <c r="P30" s="249">
        <f>Données!AA30</f>
        <v>51</v>
      </c>
      <c r="Q30" s="284">
        <f>Données!AB30</f>
        <v>37</v>
      </c>
      <c r="R30" s="236">
        <f t="shared" si="8"/>
        <v>56.55</v>
      </c>
      <c r="S30" s="288">
        <f t="shared" si="4"/>
        <v>0.10134408602150537</v>
      </c>
      <c r="T30" s="273">
        <f t="shared" si="5"/>
        <v>75.997546012269908</v>
      </c>
      <c r="U30" s="273">
        <f t="shared" si="9"/>
        <v>0</v>
      </c>
      <c r="V30" s="287">
        <f t="shared" si="10"/>
        <v>0</v>
      </c>
      <c r="W30" s="340"/>
      <c r="X30" s="236">
        <f t="shared" si="11"/>
        <v>0</v>
      </c>
      <c r="Y30" s="253">
        <f t="shared" si="12"/>
        <v>0</v>
      </c>
    </row>
    <row r="31" spans="1:25" x14ac:dyDescent="0.25">
      <c r="A31" s="111">
        <f>Données!A31</f>
        <v>5430</v>
      </c>
      <c r="B31" s="119" t="str">
        <f>Données!B31</f>
        <v>Marchissy</v>
      </c>
      <c r="C31" s="252">
        <f>Données!C31</f>
        <v>492</v>
      </c>
      <c r="D31" s="265"/>
      <c r="E31" s="249">
        <f>Données!X31</f>
        <v>1193</v>
      </c>
      <c r="F31" s="286">
        <f t="shared" si="0"/>
        <v>2.4247967479674797</v>
      </c>
      <c r="G31" s="265">
        <f t="shared" si="1"/>
        <v>376.17247536945814</v>
      </c>
      <c r="H31" s="273">
        <f t="shared" si="6"/>
        <v>816.8275246305418</v>
      </c>
      <c r="I31" s="287">
        <f t="shared" si="7"/>
        <v>-87096</v>
      </c>
      <c r="J31" s="265"/>
      <c r="K31" s="274">
        <f>Données!Y31</f>
        <v>492</v>
      </c>
      <c r="L31" s="441">
        <f>Données!Z31</f>
        <v>0.157</v>
      </c>
      <c r="M31" s="265">
        <f t="shared" si="2"/>
        <v>92.072502472799215</v>
      </c>
      <c r="N31" s="287">
        <f t="shared" si="3"/>
        <v>-45300</v>
      </c>
      <c r="O31" s="265"/>
      <c r="P31" s="249">
        <f>Données!AA31</f>
        <v>53</v>
      </c>
      <c r="Q31" s="284">
        <f>Données!AB31</f>
        <v>33</v>
      </c>
      <c r="R31" s="236">
        <f t="shared" si="8"/>
        <v>57.95</v>
      </c>
      <c r="S31" s="288">
        <f t="shared" si="4"/>
        <v>0.11778455284552847</v>
      </c>
      <c r="T31" s="273">
        <f t="shared" si="5"/>
        <v>67.008588957055181</v>
      </c>
      <c r="U31" s="273">
        <f t="shared" si="9"/>
        <v>0</v>
      </c>
      <c r="V31" s="287">
        <f t="shared" si="10"/>
        <v>0</v>
      </c>
      <c r="W31" s="340"/>
      <c r="X31" s="236">
        <f t="shared" si="11"/>
        <v>0</v>
      </c>
      <c r="Y31" s="253">
        <f t="shared" si="12"/>
        <v>0</v>
      </c>
    </row>
    <row r="32" spans="1:25" x14ac:dyDescent="0.25">
      <c r="A32" s="111">
        <f>Données!A32</f>
        <v>5431</v>
      </c>
      <c r="B32" s="119" t="str">
        <f>Données!B32</f>
        <v>Mollens</v>
      </c>
      <c r="C32" s="252">
        <f>Données!C32</f>
        <v>320</v>
      </c>
      <c r="D32" s="265"/>
      <c r="E32" s="249">
        <f>Données!X32</f>
        <v>1099</v>
      </c>
      <c r="F32" s="286">
        <f t="shared" si="0"/>
        <v>3.4343750000000002</v>
      </c>
      <c r="G32" s="265">
        <f t="shared" si="1"/>
        <v>244.66502463054186</v>
      </c>
      <c r="H32" s="273">
        <f t="shared" si="6"/>
        <v>854.33497536945811</v>
      </c>
      <c r="I32" s="287">
        <f t="shared" si="7"/>
        <v>-91095</v>
      </c>
      <c r="J32" s="265"/>
      <c r="K32" s="274">
        <f>Données!Y32</f>
        <v>283</v>
      </c>
      <c r="L32" s="441">
        <f>Données!Z32</f>
        <v>0.20799999999999999</v>
      </c>
      <c r="M32" s="265">
        <f t="shared" si="2"/>
        <v>121.98140454995054</v>
      </c>
      <c r="N32" s="287">
        <f t="shared" si="3"/>
        <v>-34521</v>
      </c>
      <c r="O32" s="265"/>
      <c r="P32" s="249">
        <f>Données!AA32</f>
        <v>20</v>
      </c>
      <c r="Q32" s="284">
        <f>Données!AB32</f>
        <v>20</v>
      </c>
      <c r="R32" s="236">
        <f t="shared" si="8"/>
        <v>23</v>
      </c>
      <c r="S32" s="288">
        <f t="shared" si="4"/>
        <v>7.1874999999999994E-2</v>
      </c>
      <c r="T32" s="273">
        <f t="shared" si="5"/>
        <v>43.582822085889546</v>
      </c>
      <c r="U32" s="273">
        <f t="shared" si="9"/>
        <v>0</v>
      </c>
      <c r="V32" s="287">
        <f t="shared" si="10"/>
        <v>0</v>
      </c>
      <c r="W32" s="340"/>
      <c r="X32" s="236">
        <f t="shared" si="11"/>
        <v>0</v>
      </c>
      <c r="Y32" s="253">
        <f t="shared" si="12"/>
        <v>0</v>
      </c>
    </row>
    <row r="33" spans="1:25" x14ac:dyDescent="0.25">
      <c r="A33" s="111">
        <f>Données!A33</f>
        <v>5434</v>
      </c>
      <c r="B33" s="119" t="str">
        <f>Données!B33</f>
        <v>Saint-George</v>
      </c>
      <c r="C33" s="252">
        <f>Données!C33</f>
        <v>1082</v>
      </c>
      <c r="D33" s="265"/>
      <c r="E33" s="249">
        <f>Données!X33</f>
        <v>1228</v>
      </c>
      <c r="F33" s="286">
        <f t="shared" si="0"/>
        <v>1.1349353049907578</v>
      </c>
      <c r="G33" s="265">
        <f t="shared" si="1"/>
        <v>827.27361453201968</v>
      </c>
      <c r="H33" s="273">
        <f t="shared" si="6"/>
        <v>400.72638546798032</v>
      </c>
      <c r="I33" s="287">
        <f t="shared" si="7"/>
        <v>-42728</v>
      </c>
      <c r="J33" s="265"/>
      <c r="K33" s="274">
        <f>Données!Y33</f>
        <v>1082</v>
      </c>
      <c r="L33" s="441">
        <f>Données!Z33</f>
        <v>0.24399999999999999</v>
      </c>
      <c r="M33" s="265">
        <f t="shared" si="2"/>
        <v>143.09357072205736</v>
      </c>
      <c r="N33" s="287">
        <f t="shared" si="3"/>
        <v>-154827</v>
      </c>
      <c r="O33" s="265"/>
      <c r="P33" s="249">
        <f>Données!AA33</f>
        <v>124</v>
      </c>
      <c r="Q33" s="284">
        <f>Données!AB33</f>
        <v>83</v>
      </c>
      <c r="R33" s="236">
        <f t="shared" si="8"/>
        <v>136.44999999999999</v>
      </c>
      <c r="S33" s="288">
        <f t="shared" si="4"/>
        <v>0.1261090573012939</v>
      </c>
      <c r="T33" s="273">
        <f t="shared" si="5"/>
        <v>147.36441717791405</v>
      </c>
      <c r="U33" s="273">
        <f t="shared" si="9"/>
        <v>0</v>
      </c>
      <c r="V33" s="287">
        <f t="shared" si="10"/>
        <v>0</v>
      </c>
      <c r="W33" s="340"/>
      <c r="X33" s="236">
        <f t="shared" si="11"/>
        <v>0</v>
      </c>
      <c r="Y33" s="253">
        <f t="shared" si="12"/>
        <v>0</v>
      </c>
    </row>
    <row r="34" spans="1:25" x14ac:dyDescent="0.25">
      <c r="A34" s="111">
        <f>Données!A34</f>
        <v>5435</v>
      </c>
      <c r="B34" s="119" t="str">
        <f>Données!B34</f>
        <v>Saint-Livres</v>
      </c>
      <c r="C34" s="252">
        <f>Données!C34</f>
        <v>708</v>
      </c>
      <c r="D34" s="265"/>
      <c r="E34" s="249">
        <f>Données!X34</f>
        <v>805</v>
      </c>
      <c r="F34" s="286">
        <f t="shared" si="0"/>
        <v>1.1370056497175141</v>
      </c>
      <c r="G34" s="265">
        <f t="shared" si="1"/>
        <v>541.32136699507384</v>
      </c>
      <c r="H34" s="273">
        <f t="shared" si="6"/>
        <v>263.67863300492616</v>
      </c>
      <c r="I34" s="287">
        <f t="shared" si="7"/>
        <v>-28115</v>
      </c>
      <c r="J34" s="265"/>
      <c r="K34" s="274">
        <f>Données!Y34</f>
        <v>0</v>
      </c>
      <c r="L34" s="441">
        <f>Données!Z34</f>
        <v>0.13300000000000001</v>
      </c>
      <c r="M34" s="265">
        <f t="shared" si="2"/>
        <v>77.997725024727998</v>
      </c>
      <c r="N34" s="287">
        <f t="shared" si="3"/>
        <v>0</v>
      </c>
      <c r="O34" s="265"/>
      <c r="P34" s="249">
        <f>Données!AA34</f>
        <v>83</v>
      </c>
      <c r="Q34" s="284">
        <f>Données!AB34</f>
        <v>47</v>
      </c>
      <c r="R34" s="236">
        <f t="shared" si="8"/>
        <v>90.05</v>
      </c>
      <c r="S34" s="288">
        <f t="shared" si="4"/>
        <v>0.12718926553672316</v>
      </c>
      <c r="T34" s="273">
        <f t="shared" si="5"/>
        <v>96.426993865030624</v>
      </c>
      <c r="U34" s="273">
        <f t="shared" si="9"/>
        <v>0</v>
      </c>
      <c r="V34" s="287">
        <f t="shared" si="10"/>
        <v>0</v>
      </c>
      <c r="W34" s="340"/>
      <c r="X34" s="236">
        <f t="shared" si="11"/>
        <v>0</v>
      </c>
      <c r="Y34" s="253">
        <f t="shared" si="12"/>
        <v>0</v>
      </c>
    </row>
    <row r="35" spans="1:25" x14ac:dyDescent="0.25">
      <c r="A35" s="111">
        <f>Données!A35</f>
        <v>5436</v>
      </c>
      <c r="B35" s="119" t="str">
        <f>Données!B35</f>
        <v>Saint-Oyens</v>
      </c>
      <c r="C35" s="252">
        <f>Données!C35</f>
        <v>449</v>
      </c>
      <c r="D35" s="265"/>
      <c r="E35" s="249">
        <f>Données!X35</f>
        <v>303</v>
      </c>
      <c r="F35" s="286">
        <f t="shared" si="0"/>
        <v>0.67483296213808464</v>
      </c>
      <c r="G35" s="265">
        <f t="shared" si="1"/>
        <v>343.29561268472906</v>
      </c>
      <c r="H35" s="273">
        <f t="shared" si="6"/>
        <v>0</v>
      </c>
      <c r="I35" s="287">
        <f t="shared" si="7"/>
        <v>0</v>
      </c>
      <c r="J35" s="265"/>
      <c r="K35" s="274">
        <f>Données!Y35</f>
        <v>328</v>
      </c>
      <c r="L35" s="441">
        <f>Données!Z35</f>
        <v>8.8999999999999996E-2</v>
      </c>
      <c r="M35" s="265">
        <f t="shared" si="2"/>
        <v>52.193966369930763</v>
      </c>
      <c r="N35" s="287">
        <f t="shared" si="3"/>
        <v>-17120</v>
      </c>
      <c r="O35" s="265"/>
      <c r="P35" s="249">
        <f>Données!AA35</f>
        <v>64</v>
      </c>
      <c r="Q35" s="284">
        <f>Données!AB35</f>
        <v>10</v>
      </c>
      <c r="R35" s="236">
        <f t="shared" si="8"/>
        <v>65.5</v>
      </c>
      <c r="S35" s="288">
        <f t="shared" si="4"/>
        <v>0.14587973273942093</v>
      </c>
      <c r="T35" s="273">
        <f t="shared" si="5"/>
        <v>61.152147239263776</v>
      </c>
      <c r="U35" s="273">
        <f t="shared" si="9"/>
        <v>4.3478527607362238</v>
      </c>
      <c r="V35" s="287">
        <f t="shared" si="10"/>
        <v>-18544</v>
      </c>
      <c r="W35" s="340"/>
      <c r="X35" s="236">
        <f t="shared" si="11"/>
        <v>-6397.6261127596435</v>
      </c>
      <c r="Y35" s="253">
        <f t="shared" si="12"/>
        <v>-12146.373887240356</v>
      </c>
    </row>
    <row r="36" spans="1:25" x14ac:dyDescent="0.25">
      <c r="A36" s="111">
        <f>Données!A36</f>
        <v>5437</v>
      </c>
      <c r="B36" s="119" t="str">
        <f>Données!B36</f>
        <v>Saubraz</v>
      </c>
      <c r="C36" s="252">
        <f>Données!C36</f>
        <v>441</v>
      </c>
      <c r="D36" s="265"/>
      <c r="E36" s="249">
        <f>Données!X36</f>
        <v>366</v>
      </c>
      <c r="F36" s="286">
        <f t="shared" si="0"/>
        <v>0.82993197278911568</v>
      </c>
      <c r="G36" s="265">
        <f t="shared" si="1"/>
        <v>337.17898706896551</v>
      </c>
      <c r="H36" s="273">
        <f t="shared" si="6"/>
        <v>28.821012931034488</v>
      </c>
      <c r="I36" s="287">
        <f t="shared" si="7"/>
        <v>-3073</v>
      </c>
      <c r="J36" s="265"/>
      <c r="K36" s="274">
        <f>Données!Y36</f>
        <v>7</v>
      </c>
      <c r="L36" s="441">
        <f>Données!Z36</f>
        <v>0.14799999999999999</v>
      </c>
      <c r="M36" s="265">
        <f t="shared" si="2"/>
        <v>86.794460929772498</v>
      </c>
      <c r="N36" s="287">
        <f t="shared" si="3"/>
        <v>-608</v>
      </c>
      <c r="O36" s="265"/>
      <c r="P36" s="249">
        <f>Données!AA36</f>
        <v>59</v>
      </c>
      <c r="Q36" s="284">
        <f>Données!AB36</f>
        <v>45</v>
      </c>
      <c r="R36" s="236">
        <f t="shared" si="8"/>
        <v>65.75</v>
      </c>
      <c r="S36" s="288">
        <f t="shared" si="4"/>
        <v>0.14909297052154194</v>
      </c>
      <c r="T36" s="273">
        <f t="shared" si="5"/>
        <v>60.062576687116533</v>
      </c>
      <c r="U36" s="273">
        <f t="shared" si="9"/>
        <v>5.6874233128834675</v>
      </c>
      <c r="V36" s="287">
        <f t="shared" si="10"/>
        <v>-24257</v>
      </c>
      <c r="W36" s="340"/>
      <c r="X36" s="236">
        <f t="shared" si="11"/>
        <v>-24257</v>
      </c>
      <c r="Y36" s="253">
        <f t="shared" si="12"/>
        <v>0</v>
      </c>
    </row>
    <row r="37" spans="1:25" x14ac:dyDescent="0.25">
      <c r="A37" s="111">
        <f>Données!A37</f>
        <v>5451</v>
      </c>
      <c r="B37" s="119" t="str">
        <f>Données!B37</f>
        <v>Avenches</v>
      </c>
      <c r="C37" s="252">
        <f>Données!C37</f>
        <v>4953</v>
      </c>
      <c r="D37" s="265"/>
      <c r="E37" s="249">
        <f>Données!X37</f>
        <v>1922</v>
      </c>
      <c r="F37" s="286">
        <f t="shared" si="0"/>
        <v>0.3880476478901676</v>
      </c>
      <c r="G37" s="265">
        <f t="shared" si="1"/>
        <v>3786.9558343596059</v>
      </c>
      <c r="H37" s="273">
        <f t="shared" si="6"/>
        <v>0</v>
      </c>
      <c r="I37" s="287">
        <f t="shared" si="7"/>
        <v>0</v>
      </c>
      <c r="J37" s="265"/>
      <c r="K37" s="274">
        <f>Données!Y37</f>
        <v>0</v>
      </c>
      <c r="L37" s="441">
        <f>Données!Z37</f>
        <v>5.1999999999999998E-2</v>
      </c>
      <c r="M37" s="265">
        <f t="shared" si="2"/>
        <v>30.495351137487635</v>
      </c>
      <c r="N37" s="287">
        <f t="shared" si="3"/>
        <v>0</v>
      </c>
      <c r="O37" s="265"/>
      <c r="P37" s="249">
        <f>Données!AA37</f>
        <v>677</v>
      </c>
      <c r="Q37" s="284">
        <f>Données!AB37</f>
        <v>105</v>
      </c>
      <c r="R37" s="236">
        <f t="shared" si="8"/>
        <v>692.75</v>
      </c>
      <c r="S37" s="288">
        <f t="shared" si="4"/>
        <v>0.13986472844740561</v>
      </c>
      <c r="T37" s="273">
        <f t="shared" si="5"/>
        <v>674.58036809815917</v>
      </c>
      <c r="U37" s="273">
        <f t="shared" si="9"/>
        <v>18.16963190184083</v>
      </c>
      <c r="V37" s="287">
        <f t="shared" si="10"/>
        <v>-77495</v>
      </c>
      <c r="W37" s="340"/>
      <c r="X37" s="236">
        <f t="shared" si="11"/>
        <v>-67175.074183976263</v>
      </c>
      <c r="Y37" s="253">
        <f t="shared" si="12"/>
        <v>-10319.925816023737</v>
      </c>
    </row>
    <row r="38" spans="1:25" x14ac:dyDescent="0.25">
      <c r="A38" s="111">
        <f>Données!A38</f>
        <v>5456</v>
      </c>
      <c r="B38" s="119" t="str">
        <f>Données!B38</f>
        <v>Cudrefin</v>
      </c>
      <c r="C38" s="252">
        <f>Données!C38</f>
        <v>1915</v>
      </c>
      <c r="D38" s="265"/>
      <c r="E38" s="249">
        <f>Données!X38</f>
        <v>1451</v>
      </c>
      <c r="F38" s="286">
        <f t="shared" si="0"/>
        <v>0.75770234986945173</v>
      </c>
      <c r="G38" s="265">
        <f t="shared" si="1"/>
        <v>1464.167256773399</v>
      </c>
      <c r="H38" s="273">
        <f t="shared" si="6"/>
        <v>0</v>
      </c>
      <c r="I38" s="287">
        <f t="shared" si="7"/>
        <v>0</v>
      </c>
      <c r="J38" s="265"/>
      <c r="K38" s="274">
        <f>Données!Y38</f>
        <v>0</v>
      </c>
      <c r="L38" s="441">
        <f>Données!Z38</f>
        <v>2.8000000000000001E-2</v>
      </c>
      <c r="M38" s="265">
        <f t="shared" si="2"/>
        <v>16.420573689416422</v>
      </c>
      <c r="N38" s="287">
        <f t="shared" si="3"/>
        <v>0</v>
      </c>
      <c r="O38" s="265"/>
      <c r="P38" s="249">
        <f>Données!AA38</f>
        <v>222</v>
      </c>
      <c r="Q38" s="284">
        <f>Données!AB38</f>
        <v>113</v>
      </c>
      <c r="R38" s="236">
        <f t="shared" si="8"/>
        <v>238.95</v>
      </c>
      <c r="S38" s="288">
        <f t="shared" si="4"/>
        <v>0.12477806788511749</v>
      </c>
      <c r="T38" s="273">
        <f t="shared" si="5"/>
        <v>260.81595092024526</v>
      </c>
      <c r="U38" s="273">
        <f t="shared" si="9"/>
        <v>0</v>
      </c>
      <c r="V38" s="287">
        <f t="shared" si="10"/>
        <v>0</v>
      </c>
      <c r="W38" s="340"/>
      <c r="X38" s="236">
        <f t="shared" si="11"/>
        <v>0</v>
      </c>
      <c r="Y38" s="253">
        <f t="shared" si="12"/>
        <v>0</v>
      </c>
    </row>
    <row r="39" spans="1:25" x14ac:dyDescent="0.25">
      <c r="A39" s="111">
        <f>Données!A39</f>
        <v>5458</v>
      </c>
      <c r="B39" s="119" t="str">
        <f>Données!B39</f>
        <v>Faoug</v>
      </c>
      <c r="C39" s="252">
        <f>Données!C39</f>
        <v>902</v>
      </c>
      <c r="D39" s="265"/>
      <c r="E39" s="249">
        <f>Données!X39</f>
        <v>347</v>
      </c>
      <c r="F39" s="286">
        <f t="shared" si="0"/>
        <v>0.38470066518847007</v>
      </c>
      <c r="G39" s="265">
        <f t="shared" si="1"/>
        <v>689.64953817733988</v>
      </c>
      <c r="H39" s="273">
        <f t="shared" si="6"/>
        <v>0</v>
      </c>
      <c r="I39" s="287">
        <f t="shared" si="7"/>
        <v>0</v>
      </c>
      <c r="J39" s="265"/>
      <c r="K39" s="274">
        <f>Données!Y39</f>
        <v>0</v>
      </c>
      <c r="L39" s="441">
        <f>Données!Z39</f>
        <v>3.1E-2</v>
      </c>
      <c r="M39" s="265">
        <f t="shared" si="2"/>
        <v>18.17992087042532</v>
      </c>
      <c r="N39" s="287">
        <f t="shared" si="3"/>
        <v>0</v>
      </c>
      <c r="O39" s="265"/>
      <c r="P39" s="249">
        <f>Données!AA39</f>
        <v>88</v>
      </c>
      <c r="Q39" s="284">
        <f>Données!AB39</f>
        <v>55</v>
      </c>
      <c r="R39" s="236">
        <f t="shared" si="8"/>
        <v>96.25</v>
      </c>
      <c r="S39" s="288">
        <f t="shared" si="4"/>
        <v>0.10670731707317073</v>
      </c>
      <c r="T39" s="273">
        <f t="shared" si="5"/>
        <v>122.84907975460116</v>
      </c>
      <c r="U39" s="273">
        <f t="shared" si="9"/>
        <v>0</v>
      </c>
      <c r="V39" s="287">
        <f t="shared" si="10"/>
        <v>0</v>
      </c>
      <c r="W39" s="340"/>
      <c r="X39" s="236">
        <f t="shared" si="11"/>
        <v>0</v>
      </c>
      <c r="Y39" s="253">
        <f t="shared" si="12"/>
        <v>0</v>
      </c>
    </row>
    <row r="40" spans="1:25" x14ac:dyDescent="0.25">
      <c r="A40" s="111">
        <f>Données!A40</f>
        <v>5464</v>
      </c>
      <c r="B40" s="119" t="str">
        <f>Données!B40</f>
        <v>Vully-les-Lacs</v>
      </c>
      <c r="C40" s="252">
        <f>Données!C40</f>
        <v>3698</v>
      </c>
      <c r="D40" s="265"/>
      <c r="E40" s="249">
        <f>Données!X40</f>
        <v>2027</v>
      </c>
      <c r="F40" s="286">
        <f t="shared" si="0"/>
        <v>0.54813412655489457</v>
      </c>
      <c r="G40" s="265">
        <f t="shared" si="1"/>
        <v>2827.4101908866996</v>
      </c>
      <c r="H40" s="273">
        <f t="shared" si="6"/>
        <v>0</v>
      </c>
      <c r="I40" s="287">
        <f t="shared" si="7"/>
        <v>0</v>
      </c>
      <c r="J40" s="265"/>
      <c r="K40" s="274">
        <f>Données!Y40</f>
        <v>0</v>
      </c>
      <c r="L40" s="441">
        <f>Données!Z40</f>
        <v>6.2E-2</v>
      </c>
      <c r="M40" s="265">
        <f t="shared" si="2"/>
        <v>36.359841740850641</v>
      </c>
      <c r="N40" s="287">
        <f t="shared" si="3"/>
        <v>0</v>
      </c>
      <c r="O40" s="265"/>
      <c r="P40" s="249">
        <f>Données!AA40</f>
        <v>461</v>
      </c>
      <c r="Q40" s="284">
        <f>Données!AB40</f>
        <v>283</v>
      </c>
      <c r="R40" s="236">
        <f t="shared" si="8"/>
        <v>503.45</v>
      </c>
      <c r="S40" s="288">
        <f t="shared" si="4"/>
        <v>0.13614115738236884</v>
      </c>
      <c r="T40" s="273">
        <f t="shared" si="5"/>
        <v>503.65398773006109</v>
      </c>
      <c r="U40" s="273">
        <f t="shared" si="9"/>
        <v>0</v>
      </c>
      <c r="V40" s="287">
        <f t="shared" si="10"/>
        <v>0</v>
      </c>
      <c r="W40" s="340"/>
      <c r="X40" s="236">
        <f t="shared" si="11"/>
        <v>0</v>
      </c>
      <c r="Y40" s="253">
        <f t="shared" si="12"/>
        <v>0</v>
      </c>
    </row>
    <row r="41" spans="1:25" x14ac:dyDescent="0.25">
      <c r="A41" s="111">
        <f>Données!A41</f>
        <v>5471</v>
      </c>
      <c r="B41" s="119" t="str">
        <f>Données!B41</f>
        <v>Bettens</v>
      </c>
      <c r="C41" s="252">
        <f>Données!C41</f>
        <v>652</v>
      </c>
      <c r="D41" s="265"/>
      <c r="E41" s="249">
        <f>Données!X41</f>
        <v>369</v>
      </c>
      <c r="F41" s="286">
        <f t="shared" si="0"/>
        <v>0.56595092024539873</v>
      </c>
      <c r="G41" s="265">
        <f t="shared" si="1"/>
        <v>498.50498768472909</v>
      </c>
      <c r="H41" s="273">
        <f t="shared" si="6"/>
        <v>0</v>
      </c>
      <c r="I41" s="287">
        <f t="shared" si="7"/>
        <v>0</v>
      </c>
      <c r="J41" s="265"/>
      <c r="K41" s="274">
        <f>Données!Y41</f>
        <v>0</v>
      </c>
      <c r="L41" s="441">
        <f>Données!Z41</f>
        <v>4.1000000000000002E-2</v>
      </c>
      <c r="M41" s="265">
        <f t="shared" si="2"/>
        <v>24.04441147378833</v>
      </c>
      <c r="N41" s="287">
        <f t="shared" si="3"/>
        <v>0</v>
      </c>
      <c r="O41" s="265"/>
      <c r="P41" s="249">
        <f>Données!AA41</f>
        <v>86</v>
      </c>
      <c r="Q41" s="284">
        <f>Données!AB41</f>
        <v>64</v>
      </c>
      <c r="R41" s="236">
        <f t="shared" si="8"/>
        <v>95.6</v>
      </c>
      <c r="S41" s="288">
        <f t="shared" si="4"/>
        <v>0.14662576687116563</v>
      </c>
      <c r="T41" s="273">
        <f t="shared" si="5"/>
        <v>88.799999999999955</v>
      </c>
      <c r="U41" s="273">
        <f t="shared" si="9"/>
        <v>6.8000000000000398</v>
      </c>
      <c r="V41" s="287">
        <f t="shared" si="10"/>
        <v>-29003</v>
      </c>
      <c r="W41" s="340"/>
      <c r="X41" s="236">
        <f t="shared" si="11"/>
        <v>-29003</v>
      </c>
      <c r="Y41" s="253">
        <f t="shared" si="12"/>
        <v>0</v>
      </c>
    </row>
    <row r="42" spans="1:25" x14ac:dyDescent="0.25">
      <c r="A42" s="111">
        <f>Données!A42</f>
        <v>5472</v>
      </c>
      <c r="B42" s="119" t="str">
        <f>Données!B42</f>
        <v>Bournens</v>
      </c>
      <c r="C42" s="252">
        <f>Données!C42</f>
        <v>612</v>
      </c>
      <c r="D42" s="265"/>
      <c r="E42" s="249">
        <f>Données!X42</f>
        <v>386</v>
      </c>
      <c r="F42" s="286">
        <f t="shared" si="0"/>
        <v>0.63071895424836599</v>
      </c>
      <c r="G42" s="265">
        <f t="shared" si="1"/>
        <v>467.92185960591132</v>
      </c>
      <c r="H42" s="273">
        <f t="shared" si="6"/>
        <v>0</v>
      </c>
      <c r="I42" s="287">
        <f t="shared" si="7"/>
        <v>0</v>
      </c>
      <c r="J42" s="265"/>
      <c r="K42" s="274">
        <f>Données!Y42</f>
        <v>0</v>
      </c>
      <c r="L42" s="441">
        <f>Données!Z42</f>
        <v>1.6E-2</v>
      </c>
      <c r="M42" s="265">
        <f t="shared" si="2"/>
        <v>9.3831849653808117</v>
      </c>
      <c r="N42" s="287">
        <f t="shared" si="3"/>
        <v>0</v>
      </c>
      <c r="O42" s="265"/>
      <c r="P42" s="249">
        <f>Données!AA42</f>
        <v>62</v>
      </c>
      <c r="Q42" s="284">
        <f>Données!AB42</f>
        <v>35</v>
      </c>
      <c r="R42" s="236">
        <f t="shared" si="8"/>
        <v>67.25</v>
      </c>
      <c r="S42" s="288">
        <f t="shared" si="4"/>
        <v>0.10988562091503268</v>
      </c>
      <c r="T42" s="273">
        <f t="shared" si="5"/>
        <v>83.352147239263758</v>
      </c>
      <c r="U42" s="273">
        <f t="shared" si="9"/>
        <v>0</v>
      </c>
      <c r="V42" s="287">
        <f t="shared" si="10"/>
        <v>0</v>
      </c>
      <c r="W42" s="340"/>
      <c r="X42" s="236">
        <f t="shared" si="11"/>
        <v>0</v>
      </c>
      <c r="Y42" s="253">
        <f t="shared" si="12"/>
        <v>0</v>
      </c>
    </row>
    <row r="43" spans="1:25" x14ac:dyDescent="0.25">
      <c r="A43" s="111">
        <f>Données!A43</f>
        <v>5473</v>
      </c>
      <c r="B43" s="119" t="str">
        <f>Données!B43</f>
        <v>Boussens</v>
      </c>
      <c r="C43" s="252">
        <f>Données!C43</f>
        <v>1016</v>
      </c>
      <c r="D43" s="265"/>
      <c r="E43" s="249">
        <f>Données!X43</f>
        <v>318</v>
      </c>
      <c r="F43" s="286">
        <f t="shared" si="0"/>
        <v>0.31299212598425197</v>
      </c>
      <c r="G43" s="265">
        <f t="shared" si="1"/>
        <v>776.81145320197049</v>
      </c>
      <c r="H43" s="273">
        <f t="shared" si="6"/>
        <v>0</v>
      </c>
      <c r="I43" s="287">
        <f t="shared" si="7"/>
        <v>0</v>
      </c>
      <c r="J43" s="265"/>
      <c r="K43" s="274">
        <f>Données!Y43</f>
        <v>0</v>
      </c>
      <c r="L43" s="441">
        <f>Données!Z43</f>
        <v>4.0000000000000001E-3</v>
      </c>
      <c r="M43" s="265">
        <f t="shared" si="2"/>
        <v>2.3457962413452029</v>
      </c>
      <c r="N43" s="287">
        <f t="shared" si="3"/>
        <v>0</v>
      </c>
      <c r="O43" s="265"/>
      <c r="P43" s="249">
        <f>Données!AA43</f>
        <v>158</v>
      </c>
      <c r="Q43" s="284">
        <f>Données!AB43</f>
        <v>88</v>
      </c>
      <c r="R43" s="236">
        <f t="shared" si="8"/>
        <v>171.2</v>
      </c>
      <c r="S43" s="288">
        <f t="shared" si="4"/>
        <v>0.168503937007874</v>
      </c>
      <c r="T43" s="273">
        <f t="shared" si="5"/>
        <v>138.37546012269931</v>
      </c>
      <c r="U43" s="273">
        <f t="shared" si="9"/>
        <v>32.82453987730068</v>
      </c>
      <c r="V43" s="287">
        <f t="shared" si="10"/>
        <v>-139999</v>
      </c>
      <c r="W43" s="340"/>
      <c r="X43" s="236">
        <f t="shared" si="11"/>
        <v>-56299.109792284857</v>
      </c>
      <c r="Y43" s="253">
        <f t="shared" si="12"/>
        <v>-83699.890207715143</v>
      </c>
    </row>
    <row r="44" spans="1:25" x14ac:dyDescent="0.25">
      <c r="A44" s="111">
        <f>Données!A44</f>
        <v>5474</v>
      </c>
      <c r="B44" s="119" t="str">
        <f>Données!B44</f>
        <v>La Chaux (Cossonay)</v>
      </c>
      <c r="C44" s="252">
        <f>Données!C44</f>
        <v>421</v>
      </c>
      <c r="D44" s="265"/>
      <c r="E44" s="249">
        <f>Données!X44</f>
        <v>674</v>
      </c>
      <c r="F44" s="286">
        <f t="shared" si="0"/>
        <v>1.6009501187648456</v>
      </c>
      <c r="G44" s="265">
        <f t="shared" si="1"/>
        <v>321.88742302955666</v>
      </c>
      <c r="H44" s="273">
        <f t="shared" si="6"/>
        <v>352.11257697044334</v>
      </c>
      <c r="I44" s="287">
        <f t="shared" si="7"/>
        <v>-37545</v>
      </c>
      <c r="J44" s="265"/>
      <c r="K44" s="274">
        <f>Données!Y44</f>
        <v>0</v>
      </c>
      <c r="L44" s="441">
        <f>Données!Z44</f>
        <v>4.2000000000000003E-2</v>
      </c>
      <c r="M44" s="265">
        <f t="shared" si="2"/>
        <v>24.630860534124633</v>
      </c>
      <c r="N44" s="287">
        <f t="shared" si="3"/>
        <v>0</v>
      </c>
      <c r="O44" s="265"/>
      <c r="P44" s="249">
        <f>Données!AA44</f>
        <v>49</v>
      </c>
      <c r="Q44" s="284">
        <f>Données!AB44</f>
        <v>49</v>
      </c>
      <c r="R44" s="236">
        <f t="shared" si="8"/>
        <v>56.35</v>
      </c>
      <c r="S44" s="288">
        <f t="shared" si="4"/>
        <v>0.13384798099762471</v>
      </c>
      <c r="T44" s="273">
        <f t="shared" si="5"/>
        <v>57.338650306748441</v>
      </c>
      <c r="U44" s="273">
        <f t="shared" si="9"/>
        <v>0</v>
      </c>
      <c r="V44" s="287">
        <f t="shared" si="10"/>
        <v>0</v>
      </c>
      <c r="W44" s="340"/>
      <c r="X44" s="236">
        <f t="shared" si="11"/>
        <v>0</v>
      </c>
      <c r="Y44" s="253">
        <f t="shared" si="12"/>
        <v>0</v>
      </c>
    </row>
    <row r="45" spans="1:25" x14ac:dyDescent="0.25">
      <c r="A45" s="111">
        <f>Données!A45</f>
        <v>5475</v>
      </c>
      <c r="B45" s="119" t="str">
        <f>Données!B45</f>
        <v>Chavannes-le-Veyron</v>
      </c>
      <c r="C45" s="252">
        <f>Données!C45</f>
        <v>160</v>
      </c>
      <c r="D45" s="265"/>
      <c r="E45" s="249">
        <f>Données!X45</f>
        <v>264</v>
      </c>
      <c r="F45" s="286">
        <f t="shared" si="0"/>
        <v>1.65</v>
      </c>
      <c r="G45" s="265">
        <f t="shared" si="1"/>
        <v>122.33251231527093</v>
      </c>
      <c r="H45" s="273">
        <f t="shared" si="6"/>
        <v>141.66748768472905</v>
      </c>
      <c r="I45" s="287">
        <f t="shared" si="7"/>
        <v>-15106</v>
      </c>
      <c r="J45" s="265"/>
      <c r="K45" s="274">
        <f>Données!Y45</f>
        <v>0</v>
      </c>
      <c r="L45" s="441">
        <f>Données!Z45</f>
        <v>6.0999999999999999E-2</v>
      </c>
      <c r="M45" s="265">
        <f t="shared" si="2"/>
        <v>35.773392680514341</v>
      </c>
      <c r="N45" s="287">
        <f t="shared" si="3"/>
        <v>0</v>
      </c>
      <c r="O45" s="265"/>
      <c r="P45" s="249">
        <f>Données!AA45</f>
        <v>28</v>
      </c>
      <c r="Q45" s="284">
        <f>Données!AB45</f>
        <v>19</v>
      </c>
      <c r="R45" s="236">
        <f t="shared" si="8"/>
        <v>30.85</v>
      </c>
      <c r="S45" s="288">
        <f t="shared" si="4"/>
        <v>0.1928125</v>
      </c>
      <c r="T45" s="273">
        <f t="shared" si="5"/>
        <v>21.791411042944773</v>
      </c>
      <c r="U45" s="273">
        <f t="shared" si="9"/>
        <v>9.0585889570552283</v>
      </c>
      <c r="V45" s="287">
        <f t="shared" si="10"/>
        <v>-38636</v>
      </c>
      <c r="W45" s="340"/>
      <c r="X45" s="236">
        <f t="shared" si="11"/>
        <v>-12155.489614243323</v>
      </c>
      <c r="Y45" s="253">
        <f t="shared" si="12"/>
        <v>-26480.510385756679</v>
      </c>
    </row>
    <row r="46" spans="1:25" x14ac:dyDescent="0.25">
      <c r="A46" s="111">
        <f>Données!A46</f>
        <v>5476</v>
      </c>
      <c r="B46" s="119" t="str">
        <f>Données!B46</f>
        <v>Chevilly</v>
      </c>
      <c r="C46" s="252">
        <f>Données!C46</f>
        <v>345</v>
      </c>
      <c r="D46" s="265"/>
      <c r="E46" s="249">
        <f>Données!X46</f>
        <v>381</v>
      </c>
      <c r="F46" s="286">
        <f t="shared" si="0"/>
        <v>1.1043478260869566</v>
      </c>
      <c r="G46" s="265">
        <f t="shared" si="1"/>
        <v>263.77947967980293</v>
      </c>
      <c r="H46" s="273">
        <f t="shared" si="6"/>
        <v>117.22052032019707</v>
      </c>
      <c r="I46" s="287">
        <f t="shared" si="7"/>
        <v>-12499</v>
      </c>
      <c r="J46" s="265"/>
      <c r="K46" s="274">
        <f>Données!Y46</f>
        <v>0</v>
      </c>
      <c r="L46" s="441">
        <f>Données!Z46</f>
        <v>9.0999999999999998E-2</v>
      </c>
      <c r="M46" s="265">
        <f t="shared" si="2"/>
        <v>53.366864490603362</v>
      </c>
      <c r="N46" s="287">
        <f t="shared" si="3"/>
        <v>0</v>
      </c>
      <c r="O46" s="265"/>
      <c r="P46" s="249">
        <f>Données!AA46</f>
        <v>49</v>
      </c>
      <c r="Q46" s="284">
        <f>Données!AB46</f>
        <v>49</v>
      </c>
      <c r="R46" s="236">
        <f t="shared" si="8"/>
        <v>56.35</v>
      </c>
      <c r="S46" s="288">
        <f t="shared" si="4"/>
        <v>0.16333333333333333</v>
      </c>
      <c r="T46" s="273">
        <f t="shared" si="5"/>
        <v>46.987730061349673</v>
      </c>
      <c r="U46" s="273">
        <f t="shared" si="9"/>
        <v>9.3622699386503285</v>
      </c>
      <c r="V46" s="287">
        <f t="shared" si="10"/>
        <v>-39931</v>
      </c>
      <c r="W46" s="340"/>
      <c r="X46" s="236">
        <f t="shared" si="11"/>
        <v>-31348.367952522251</v>
      </c>
      <c r="Y46" s="253">
        <f t="shared" si="12"/>
        <v>-8582.6320474777494</v>
      </c>
    </row>
    <row r="47" spans="1:25" x14ac:dyDescent="0.25">
      <c r="A47" s="111">
        <f>Données!A47</f>
        <v>5477</v>
      </c>
      <c r="B47" s="119" t="str">
        <f>Données!B47</f>
        <v>Cossonay</v>
      </c>
      <c r="C47" s="252">
        <f>Données!C47</f>
        <v>4974</v>
      </c>
      <c r="D47" s="265"/>
      <c r="E47" s="249">
        <f>Données!X47</f>
        <v>818</v>
      </c>
      <c r="F47" s="286">
        <f t="shared" si="0"/>
        <v>0.16445516686771211</v>
      </c>
      <c r="G47" s="265">
        <f t="shared" si="1"/>
        <v>3803.0119766009852</v>
      </c>
      <c r="H47" s="273">
        <f t="shared" si="6"/>
        <v>0</v>
      </c>
      <c r="I47" s="287">
        <f t="shared" si="7"/>
        <v>0</v>
      </c>
      <c r="J47" s="265"/>
      <c r="K47" s="274">
        <f>Données!Y47</f>
        <v>0</v>
      </c>
      <c r="L47" s="441">
        <f>Données!Z47</f>
        <v>0.06</v>
      </c>
      <c r="M47" s="265">
        <f t="shared" si="2"/>
        <v>35.186943620178042</v>
      </c>
      <c r="N47" s="287">
        <f t="shared" si="3"/>
        <v>0</v>
      </c>
      <c r="O47" s="265"/>
      <c r="P47" s="249">
        <f>Données!AA47</f>
        <v>600</v>
      </c>
      <c r="Q47" s="284">
        <f>Données!AB47</f>
        <v>79</v>
      </c>
      <c r="R47" s="236">
        <f t="shared" si="8"/>
        <v>611.85</v>
      </c>
      <c r="S47" s="288">
        <f t="shared" si="4"/>
        <v>0.1230096501809409</v>
      </c>
      <c r="T47" s="273">
        <f t="shared" si="5"/>
        <v>677.44049079754564</v>
      </c>
      <c r="U47" s="273">
        <f t="shared" si="9"/>
        <v>0</v>
      </c>
      <c r="V47" s="287">
        <f t="shared" si="10"/>
        <v>0</v>
      </c>
      <c r="W47" s="340"/>
      <c r="X47" s="236">
        <f t="shared" si="11"/>
        <v>0</v>
      </c>
      <c r="Y47" s="253">
        <f t="shared" si="12"/>
        <v>0</v>
      </c>
    </row>
    <row r="48" spans="1:25" x14ac:dyDescent="0.25">
      <c r="A48" s="111">
        <f>Données!A48</f>
        <v>5479</v>
      </c>
      <c r="B48" s="119" t="str">
        <f>Données!B48</f>
        <v>Cuarnens</v>
      </c>
      <c r="C48" s="252">
        <f>Données!C48</f>
        <v>557</v>
      </c>
      <c r="D48" s="265"/>
      <c r="E48" s="249">
        <f>Données!X48</f>
        <v>704</v>
      </c>
      <c r="F48" s="286">
        <f t="shared" si="0"/>
        <v>1.2639138240574506</v>
      </c>
      <c r="G48" s="265">
        <f t="shared" si="1"/>
        <v>425.87005849753695</v>
      </c>
      <c r="H48" s="273">
        <f t="shared" si="6"/>
        <v>278.12994150246305</v>
      </c>
      <c r="I48" s="287">
        <f t="shared" si="7"/>
        <v>-29656</v>
      </c>
      <c r="J48" s="265"/>
      <c r="K48" s="274">
        <f>Données!Y48</f>
        <v>0</v>
      </c>
      <c r="L48" s="441">
        <f>Données!Z48</f>
        <v>2.1000000000000001E-2</v>
      </c>
      <c r="M48" s="265">
        <f t="shared" si="2"/>
        <v>12.315430267062316</v>
      </c>
      <c r="N48" s="287">
        <f t="shared" si="3"/>
        <v>0</v>
      </c>
      <c r="O48" s="265"/>
      <c r="P48" s="249">
        <f>Données!AA48</f>
        <v>85</v>
      </c>
      <c r="Q48" s="284">
        <f>Données!AB48</f>
        <v>50</v>
      </c>
      <c r="R48" s="236">
        <f t="shared" si="8"/>
        <v>92.5</v>
      </c>
      <c r="S48" s="288">
        <f t="shared" si="4"/>
        <v>0.16606822262118492</v>
      </c>
      <c r="T48" s="273">
        <f t="shared" si="5"/>
        <v>75.861349693251498</v>
      </c>
      <c r="U48" s="273">
        <f t="shared" si="9"/>
        <v>16.638650306748502</v>
      </c>
      <c r="V48" s="287">
        <f t="shared" si="10"/>
        <v>-70965</v>
      </c>
      <c r="W48" s="340"/>
      <c r="X48" s="236">
        <f t="shared" si="11"/>
        <v>-31988.130563798219</v>
      </c>
      <c r="Y48" s="253">
        <f t="shared" si="12"/>
        <v>-38976.869436201785</v>
      </c>
    </row>
    <row r="49" spans="1:25" x14ac:dyDescent="0.25">
      <c r="A49" s="111">
        <f>Données!A49</f>
        <v>5480</v>
      </c>
      <c r="B49" s="119" t="str">
        <f>Données!B49</f>
        <v>Daillens</v>
      </c>
      <c r="C49" s="252">
        <f>Données!C49</f>
        <v>1113</v>
      </c>
      <c r="D49" s="265"/>
      <c r="E49" s="249">
        <f>Données!X49</f>
        <v>546</v>
      </c>
      <c r="F49" s="286">
        <f t="shared" si="0"/>
        <v>0.49056603773584906</v>
      </c>
      <c r="G49" s="265">
        <f t="shared" si="1"/>
        <v>850.9755387931034</v>
      </c>
      <c r="H49" s="273">
        <f t="shared" si="6"/>
        <v>0</v>
      </c>
      <c r="I49" s="287">
        <f t="shared" si="7"/>
        <v>0</v>
      </c>
      <c r="J49" s="265"/>
      <c r="K49" s="274">
        <f>Données!Y49</f>
        <v>0</v>
      </c>
      <c r="L49" s="441">
        <f>Données!Z49</f>
        <v>9.4E-2</v>
      </c>
      <c r="M49" s="265">
        <f t="shared" si="2"/>
        <v>55.126211671612268</v>
      </c>
      <c r="N49" s="287">
        <f t="shared" si="3"/>
        <v>0</v>
      </c>
      <c r="O49" s="265"/>
      <c r="P49" s="249">
        <f>Données!AA49</f>
        <v>156</v>
      </c>
      <c r="Q49" s="284">
        <f>Données!AB49</f>
        <v>107</v>
      </c>
      <c r="R49" s="236">
        <f t="shared" si="8"/>
        <v>172.05</v>
      </c>
      <c r="S49" s="288">
        <f t="shared" si="4"/>
        <v>0.15458221024258761</v>
      </c>
      <c r="T49" s="273">
        <f t="shared" si="5"/>
        <v>151.58650306748459</v>
      </c>
      <c r="U49" s="273">
        <f t="shared" si="9"/>
        <v>20.463496932515426</v>
      </c>
      <c r="V49" s="287">
        <f t="shared" si="10"/>
        <v>-87279</v>
      </c>
      <c r="W49" s="340"/>
      <c r="X49" s="236">
        <f t="shared" si="11"/>
        <v>-68454.599406528185</v>
      </c>
      <c r="Y49" s="253">
        <f t="shared" si="12"/>
        <v>-18824.400593471815</v>
      </c>
    </row>
    <row r="50" spans="1:25" x14ac:dyDescent="0.25">
      <c r="A50" s="111">
        <f>Données!A50</f>
        <v>5481</v>
      </c>
      <c r="B50" s="119" t="str">
        <f>Données!B50</f>
        <v>Dizy</v>
      </c>
      <c r="C50" s="252">
        <f>Données!C50</f>
        <v>239</v>
      </c>
      <c r="D50" s="265"/>
      <c r="E50" s="249">
        <f>Données!X50</f>
        <v>304</v>
      </c>
      <c r="F50" s="286">
        <f t="shared" si="0"/>
        <v>1.2719665271966527</v>
      </c>
      <c r="G50" s="265">
        <f t="shared" si="1"/>
        <v>182.73419027093595</v>
      </c>
      <c r="H50" s="273">
        <f t="shared" si="6"/>
        <v>121.26580972906405</v>
      </c>
      <c r="I50" s="287">
        <f t="shared" si="7"/>
        <v>-12930</v>
      </c>
      <c r="J50" s="265"/>
      <c r="K50" s="274">
        <f>Données!Y50</f>
        <v>0</v>
      </c>
      <c r="L50" s="441">
        <f>Données!Z50</f>
        <v>3.5000000000000003E-2</v>
      </c>
      <c r="M50" s="265">
        <f t="shared" si="2"/>
        <v>20.525717111770525</v>
      </c>
      <c r="N50" s="287">
        <f t="shared" si="3"/>
        <v>0</v>
      </c>
      <c r="O50" s="265"/>
      <c r="P50" s="249">
        <f>Données!AA50</f>
        <v>30</v>
      </c>
      <c r="Q50" s="284">
        <f>Données!AB50</f>
        <v>30</v>
      </c>
      <c r="R50" s="236">
        <f t="shared" si="8"/>
        <v>34.5</v>
      </c>
      <c r="S50" s="288">
        <f t="shared" si="4"/>
        <v>0.14435146443514643</v>
      </c>
      <c r="T50" s="273">
        <f t="shared" si="5"/>
        <v>32.550920245398757</v>
      </c>
      <c r="U50" s="273">
        <f t="shared" si="9"/>
        <v>1.9490797546012431</v>
      </c>
      <c r="V50" s="287">
        <f t="shared" si="10"/>
        <v>-8313</v>
      </c>
      <c r="W50" s="340"/>
      <c r="X50" s="236">
        <f t="shared" si="11"/>
        <v>-8313</v>
      </c>
      <c r="Y50" s="253">
        <f t="shared" si="12"/>
        <v>0</v>
      </c>
    </row>
    <row r="51" spans="1:25" x14ac:dyDescent="0.25">
      <c r="A51" s="111">
        <f>Données!A51</f>
        <v>5482</v>
      </c>
      <c r="B51" s="119" t="str">
        <f>Données!B51</f>
        <v>Eclépens</v>
      </c>
      <c r="C51" s="252">
        <f>Données!C51</f>
        <v>1202</v>
      </c>
      <c r="D51" s="265"/>
      <c r="E51" s="249">
        <f>Données!X51</f>
        <v>576</v>
      </c>
      <c r="F51" s="286">
        <f t="shared" si="0"/>
        <v>0.47920133111480867</v>
      </c>
      <c r="G51" s="265">
        <f t="shared" si="1"/>
        <v>919.02299876847292</v>
      </c>
      <c r="H51" s="273">
        <f t="shared" si="6"/>
        <v>0</v>
      </c>
      <c r="I51" s="287">
        <f t="shared" si="7"/>
        <v>0</v>
      </c>
      <c r="J51" s="265"/>
      <c r="K51" s="274">
        <f>Données!Y51</f>
        <v>0</v>
      </c>
      <c r="L51" s="441">
        <f>Données!Z51</f>
        <v>0.125</v>
      </c>
      <c r="M51" s="265">
        <f t="shared" si="2"/>
        <v>73.306132542037588</v>
      </c>
      <c r="N51" s="287">
        <f t="shared" si="3"/>
        <v>0</v>
      </c>
      <c r="O51" s="265"/>
      <c r="P51" s="249">
        <f>Données!AA51</f>
        <v>152</v>
      </c>
      <c r="Q51" s="284">
        <f>Données!AB51</f>
        <v>9</v>
      </c>
      <c r="R51" s="236">
        <f t="shared" si="8"/>
        <v>153.35</v>
      </c>
      <c r="S51" s="288">
        <f t="shared" si="4"/>
        <v>0.12757903494176373</v>
      </c>
      <c r="T51" s="273">
        <f t="shared" si="5"/>
        <v>163.70797546012261</v>
      </c>
      <c r="U51" s="273">
        <f t="shared" si="9"/>
        <v>0</v>
      </c>
      <c r="V51" s="287">
        <f t="shared" si="10"/>
        <v>0</v>
      </c>
      <c r="W51" s="340"/>
      <c r="X51" s="236">
        <f t="shared" si="11"/>
        <v>0</v>
      </c>
      <c r="Y51" s="253">
        <f t="shared" si="12"/>
        <v>0</v>
      </c>
    </row>
    <row r="52" spans="1:25" x14ac:dyDescent="0.25">
      <c r="A52" s="111">
        <f>Données!A52</f>
        <v>5483</v>
      </c>
      <c r="B52" s="119" t="str">
        <f>Données!B52</f>
        <v>Ferreyres</v>
      </c>
      <c r="C52" s="252">
        <f>Données!C52</f>
        <v>308</v>
      </c>
      <c r="D52" s="265"/>
      <c r="E52" s="249">
        <f>Données!X52</f>
        <v>315</v>
      </c>
      <c r="F52" s="286">
        <f t="shared" si="0"/>
        <v>1.0227272727272727</v>
      </c>
      <c r="G52" s="265">
        <f t="shared" si="1"/>
        <v>235.49008620689656</v>
      </c>
      <c r="H52" s="273">
        <f t="shared" si="6"/>
        <v>79.509913793103436</v>
      </c>
      <c r="I52" s="287">
        <f t="shared" si="7"/>
        <v>-8478</v>
      </c>
      <c r="J52" s="265"/>
      <c r="K52" s="274">
        <f>Données!Y52</f>
        <v>0</v>
      </c>
      <c r="L52" s="441">
        <f>Données!Z52</f>
        <v>3.5999999999999997E-2</v>
      </c>
      <c r="M52" s="265">
        <f t="shared" si="2"/>
        <v>21.112166172106825</v>
      </c>
      <c r="N52" s="287">
        <f t="shared" si="3"/>
        <v>0</v>
      </c>
      <c r="O52" s="265"/>
      <c r="P52" s="249">
        <f>Données!AA52</f>
        <v>41</v>
      </c>
      <c r="Q52" s="284">
        <f>Données!AB52</f>
        <v>29</v>
      </c>
      <c r="R52" s="236">
        <f t="shared" si="8"/>
        <v>45.35</v>
      </c>
      <c r="S52" s="288">
        <f t="shared" si="4"/>
        <v>0.14724025974025975</v>
      </c>
      <c r="T52" s="273">
        <f t="shared" si="5"/>
        <v>41.948466257668692</v>
      </c>
      <c r="U52" s="273">
        <f t="shared" si="9"/>
        <v>3.4015337423313099</v>
      </c>
      <c r="V52" s="287">
        <f t="shared" si="10"/>
        <v>-14508</v>
      </c>
      <c r="W52" s="340"/>
      <c r="X52" s="236">
        <f t="shared" si="11"/>
        <v>-14508</v>
      </c>
      <c r="Y52" s="253">
        <f t="shared" si="12"/>
        <v>0</v>
      </c>
    </row>
    <row r="53" spans="1:25" x14ac:dyDescent="0.25">
      <c r="A53" s="111">
        <f>Données!A53</f>
        <v>5484</v>
      </c>
      <c r="B53" s="119" t="str">
        <f>Données!B53</f>
        <v>Gollion</v>
      </c>
      <c r="C53" s="252">
        <f>Données!C53</f>
        <v>1091</v>
      </c>
      <c r="D53" s="265"/>
      <c r="E53" s="249">
        <f>Données!X53</f>
        <v>546</v>
      </c>
      <c r="F53" s="286">
        <f t="shared" si="0"/>
        <v>0.50045829514207152</v>
      </c>
      <c r="G53" s="265">
        <f t="shared" si="1"/>
        <v>834.15481834975367</v>
      </c>
      <c r="H53" s="273">
        <f t="shared" si="6"/>
        <v>0</v>
      </c>
      <c r="I53" s="287">
        <f t="shared" si="7"/>
        <v>0</v>
      </c>
      <c r="J53" s="265"/>
      <c r="K53" s="274">
        <f>Données!Y53</f>
        <v>0</v>
      </c>
      <c r="L53" s="441">
        <f>Données!Z53</f>
        <v>7.9000000000000001E-2</v>
      </c>
      <c r="M53" s="265">
        <f t="shared" si="2"/>
        <v>46.329475766567754</v>
      </c>
      <c r="N53" s="287">
        <f t="shared" si="3"/>
        <v>0</v>
      </c>
      <c r="O53" s="265"/>
      <c r="P53" s="249">
        <f>Données!AA53</f>
        <v>147</v>
      </c>
      <c r="Q53" s="284">
        <f>Données!AB53</f>
        <v>63</v>
      </c>
      <c r="R53" s="236">
        <f t="shared" si="8"/>
        <v>156.44999999999999</v>
      </c>
      <c r="S53" s="288">
        <f t="shared" si="4"/>
        <v>0.14340054995417048</v>
      </c>
      <c r="T53" s="273">
        <f t="shared" si="5"/>
        <v>148.59018404907968</v>
      </c>
      <c r="U53" s="273">
        <f t="shared" si="9"/>
        <v>7.8598159509203072</v>
      </c>
      <c r="V53" s="287">
        <f t="shared" si="10"/>
        <v>-33523</v>
      </c>
      <c r="W53" s="340"/>
      <c r="X53" s="236">
        <f t="shared" si="11"/>
        <v>-33523</v>
      </c>
      <c r="Y53" s="253">
        <f t="shared" si="12"/>
        <v>0</v>
      </c>
    </row>
    <row r="54" spans="1:25" x14ac:dyDescent="0.25">
      <c r="A54" s="111">
        <f>Données!A54</f>
        <v>5485</v>
      </c>
      <c r="B54" s="119" t="str">
        <f>Données!B54</f>
        <v>Grancy</v>
      </c>
      <c r="C54" s="252">
        <f>Données!C54</f>
        <v>541</v>
      </c>
      <c r="D54" s="265"/>
      <c r="E54" s="249">
        <f>Données!X54</f>
        <v>563</v>
      </c>
      <c r="F54" s="286">
        <f t="shared" si="0"/>
        <v>1.0406654343807764</v>
      </c>
      <c r="G54" s="265">
        <f t="shared" si="1"/>
        <v>413.63680726600984</v>
      </c>
      <c r="H54" s="273">
        <f t="shared" si="6"/>
        <v>149.36319273399016</v>
      </c>
      <c r="I54" s="287">
        <f t="shared" si="7"/>
        <v>-15926</v>
      </c>
      <c r="J54" s="265"/>
      <c r="K54" s="274">
        <f>Données!Y54</f>
        <v>0</v>
      </c>
      <c r="L54" s="441">
        <f>Données!Z54</f>
        <v>2.3E-2</v>
      </c>
      <c r="M54" s="265">
        <f t="shared" si="2"/>
        <v>13.488328387734915</v>
      </c>
      <c r="N54" s="287">
        <f t="shared" si="3"/>
        <v>0</v>
      </c>
      <c r="O54" s="265"/>
      <c r="P54" s="249">
        <f>Données!AA54</f>
        <v>77</v>
      </c>
      <c r="Q54" s="284">
        <f>Données!AB54</f>
        <v>58</v>
      </c>
      <c r="R54" s="236">
        <f t="shared" si="8"/>
        <v>85.7</v>
      </c>
      <c r="S54" s="288">
        <f t="shared" si="4"/>
        <v>0.15841035120147876</v>
      </c>
      <c r="T54" s="273">
        <f t="shared" si="5"/>
        <v>73.682208588957025</v>
      </c>
      <c r="U54" s="273">
        <f t="shared" si="9"/>
        <v>12.017791411042978</v>
      </c>
      <c r="V54" s="287">
        <f t="shared" si="10"/>
        <v>-51257</v>
      </c>
      <c r="W54" s="340"/>
      <c r="X54" s="236">
        <f t="shared" si="11"/>
        <v>-37106.231454005931</v>
      </c>
      <c r="Y54" s="253">
        <f t="shared" si="12"/>
        <v>-14150.768545994069</v>
      </c>
    </row>
    <row r="55" spans="1:25" x14ac:dyDescent="0.25">
      <c r="A55" s="111">
        <f>Données!A55</f>
        <v>5486</v>
      </c>
      <c r="B55" s="119" t="str">
        <f>Données!B55</f>
        <v>L'Isle</v>
      </c>
      <c r="C55" s="252">
        <f>Données!C55</f>
        <v>1106</v>
      </c>
      <c r="D55" s="265"/>
      <c r="E55" s="249">
        <f>Données!X55</f>
        <v>1619</v>
      </c>
      <c r="F55" s="286">
        <f t="shared" si="0"/>
        <v>1.4638336347197107</v>
      </c>
      <c r="G55" s="265">
        <f t="shared" si="1"/>
        <v>845.62349137931039</v>
      </c>
      <c r="H55" s="273">
        <f t="shared" si="6"/>
        <v>773.37650862068961</v>
      </c>
      <c r="I55" s="287">
        <f t="shared" si="7"/>
        <v>-82463</v>
      </c>
      <c r="J55" s="265"/>
      <c r="K55" s="274">
        <f>Données!Y55</f>
        <v>107</v>
      </c>
      <c r="L55" s="441">
        <f>Données!Z55</f>
        <v>0.122</v>
      </c>
      <c r="M55" s="265">
        <f t="shared" si="2"/>
        <v>71.546785361028682</v>
      </c>
      <c r="N55" s="287">
        <f t="shared" si="3"/>
        <v>-7656</v>
      </c>
      <c r="O55" s="265"/>
      <c r="P55" s="249">
        <f>Données!AA55</f>
        <v>126</v>
      </c>
      <c r="Q55" s="284">
        <f>Données!AB55</f>
        <v>96</v>
      </c>
      <c r="R55" s="236">
        <f t="shared" si="8"/>
        <v>140.4</v>
      </c>
      <c r="S55" s="288">
        <f t="shared" si="4"/>
        <v>0.12694394213381555</v>
      </c>
      <c r="T55" s="273">
        <f t="shared" si="5"/>
        <v>150.63312883435574</v>
      </c>
      <c r="U55" s="273">
        <f t="shared" si="9"/>
        <v>0</v>
      </c>
      <c r="V55" s="287">
        <f t="shared" si="10"/>
        <v>0</v>
      </c>
      <c r="W55" s="340"/>
      <c r="X55" s="236">
        <f t="shared" si="11"/>
        <v>0</v>
      </c>
      <c r="Y55" s="253">
        <f t="shared" si="12"/>
        <v>0</v>
      </c>
    </row>
    <row r="56" spans="1:25" x14ac:dyDescent="0.25">
      <c r="A56" s="111">
        <f>Données!A56</f>
        <v>5487</v>
      </c>
      <c r="B56" s="119" t="str">
        <f>Données!B56</f>
        <v>Lussery-Villars</v>
      </c>
      <c r="C56" s="252">
        <f>Données!C56</f>
        <v>469</v>
      </c>
      <c r="D56" s="265"/>
      <c r="E56" s="249">
        <f>Données!X56</f>
        <v>367</v>
      </c>
      <c r="F56" s="286">
        <f t="shared" si="0"/>
        <v>0.78251599147121531</v>
      </c>
      <c r="G56" s="265">
        <f t="shared" si="1"/>
        <v>358.58717672413792</v>
      </c>
      <c r="H56" s="273">
        <f t="shared" si="6"/>
        <v>8.4128232758620811</v>
      </c>
      <c r="I56" s="287">
        <f t="shared" si="7"/>
        <v>-897</v>
      </c>
      <c r="J56" s="265"/>
      <c r="K56" s="274">
        <f>Données!Y56</f>
        <v>0</v>
      </c>
      <c r="L56" s="441">
        <f>Données!Z56</f>
        <v>2.3E-2</v>
      </c>
      <c r="M56" s="265">
        <f t="shared" si="2"/>
        <v>13.488328387734915</v>
      </c>
      <c r="N56" s="287">
        <f t="shared" si="3"/>
        <v>0</v>
      </c>
      <c r="O56" s="265"/>
      <c r="P56" s="249">
        <f>Données!AA56</f>
        <v>52</v>
      </c>
      <c r="Q56" s="284">
        <f>Données!AB56</f>
        <v>52</v>
      </c>
      <c r="R56" s="236">
        <f t="shared" si="8"/>
        <v>59.8</v>
      </c>
      <c r="S56" s="288">
        <f t="shared" si="4"/>
        <v>0.12750533049040511</v>
      </c>
      <c r="T56" s="273">
        <f t="shared" si="5"/>
        <v>63.876073619631875</v>
      </c>
      <c r="U56" s="273">
        <f t="shared" si="9"/>
        <v>0</v>
      </c>
      <c r="V56" s="287">
        <f t="shared" si="10"/>
        <v>0</v>
      </c>
      <c r="W56" s="340"/>
      <c r="X56" s="236">
        <f t="shared" si="11"/>
        <v>0</v>
      </c>
      <c r="Y56" s="253">
        <f t="shared" si="12"/>
        <v>0</v>
      </c>
    </row>
    <row r="57" spans="1:25" x14ac:dyDescent="0.25">
      <c r="A57" s="111">
        <f>Données!A57</f>
        <v>5488</v>
      </c>
      <c r="B57" s="119" t="str">
        <f>Données!B57</f>
        <v>Mauraz</v>
      </c>
      <c r="C57" s="252">
        <f>Données!C57</f>
        <v>74</v>
      </c>
      <c r="D57" s="265"/>
      <c r="E57" s="249">
        <f>Données!X57</f>
        <v>46</v>
      </c>
      <c r="F57" s="286">
        <f t="shared" si="0"/>
        <v>0.6216216216216216</v>
      </c>
      <c r="G57" s="265">
        <f t="shared" si="1"/>
        <v>56.578786945812809</v>
      </c>
      <c r="H57" s="273">
        <f t="shared" si="6"/>
        <v>0</v>
      </c>
      <c r="I57" s="287">
        <f t="shared" si="7"/>
        <v>0</v>
      </c>
      <c r="J57" s="265"/>
      <c r="K57" s="274">
        <f>Données!Y57</f>
        <v>0</v>
      </c>
      <c r="L57" s="441">
        <f>Données!Z57</f>
        <v>7.9000000000000001E-2</v>
      </c>
      <c r="M57" s="265">
        <f t="shared" si="2"/>
        <v>46.329475766567754</v>
      </c>
      <c r="N57" s="287">
        <f t="shared" si="3"/>
        <v>0</v>
      </c>
      <c r="O57" s="265"/>
      <c r="P57" s="249">
        <f>Données!AA57</f>
        <v>8</v>
      </c>
      <c r="Q57" s="284">
        <f>Données!AB57</f>
        <v>8</v>
      </c>
      <c r="R57" s="236">
        <f t="shared" si="8"/>
        <v>9.1999999999999993</v>
      </c>
      <c r="S57" s="288">
        <f t="shared" si="4"/>
        <v>0.12432432432432432</v>
      </c>
      <c r="T57" s="273">
        <f t="shared" si="5"/>
        <v>10.078527607361959</v>
      </c>
      <c r="U57" s="273">
        <f t="shared" si="9"/>
        <v>0</v>
      </c>
      <c r="V57" s="287">
        <f t="shared" si="10"/>
        <v>0</v>
      </c>
      <c r="W57" s="340"/>
      <c r="X57" s="236">
        <f t="shared" si="11"/>
        <v>0</v>
      </c>
      <c r="Y57" s="253">
        <f t="shared" si="12"/>
        <v>0</v>
      </c>
    </row>
    <row r="58" spans="1:25" x14ac:dyDescent="0.25">
      <c r="A58" s="111">
        <f>Données!A58</f>
        <v>5489</v>
      </c>
      <c r="B58" s="119" t="str">
        <f>Données!B58</f>
        <v>Mex</v>
      </c>
      <c r="C58" s="252">
        <f>Données!C58</f>
        <v>828</v>
      </c>
      <c r="D58" s="265"/>
      <c r="E58" s="249">
        <f>Données!X58</f>
        <v>290</v>
      </c>
      <c r="F58" s="286">
        <f t="shared" si="0"/>
        <v>0.35024154589371981</v>
      </c>
      <c r="G58" s="265">
        <f t="shared" si="1"/>
        <v>633.07075123152708</v>
      </c>
      <c r="H58" s="273">
        <f t="shared" si="6"/>
        <v>0</v>
      </c>
      <c r="I58" s="287">
        <f t="shared" si="7"/>
        <v>0</v>
      </c>
      <c r="J58" s="265"/>
      <c r="K58" s="274">
        <f>Données!Y58</f>
        <v>0</v>
      </c>
      <c r="L58" s="441">
        <f>Données!Z58</f>
        <v>6.5000000000000002E-2</v>
      </c>
      <c r="M58" s="265">
        <f t="shared" si="2"/>
        <v>38.119188921859546</v>
      </c>
      <c r="N58" s="287">
        <f t="shared" si="3"/>
        <v>0</v>
      </c>
      <c r="O58" s="265"/>
      <c r="P58" s="249">
        <f>Données!AA58</f>
        <v>97</v>
      </c>
      <c r="Q58" s="284">
        <f>Données!AB58</f>
        <v>66</v>
      </c>
      <c r="R58" s="236">
        <f t="shared" si="8"/>
        <v>106.9</v>
      </c>
      <c r="S58" s="288">
        <f t="shared" si="4"/>
        <v>0.12910628019323672</v>
      </c>
      <c r="T58" s="273">
        <f t="shared" si="5"/>
        <v>112.77055214723921</v>
      </c>
      <c r="U58" s="273">
        <f t="shared" si="9"/>
        <v>0</v>
      </c>
      <c r="V58" s="287">
        <f t="shared" si="10"/>
        <v>0</v>
      </c>
      <c r="W58" s="340"/>
      <c r="X58" s="236">
        <f t="shared" si="11"/>
        <v>0</v>
      </c>
      <c r="Y58" s="253">
        <f t="shared" si="12"/>
        <v>0</v>
      </c>
    </row>
    <row r="59" spans="1:25" x14ac:dyDescent="0.25">
      <c r="A59" s="111">
        <f>Données!A59</f>
        <v>5490</v>
      </c>
      <c r="B59" s="119" t="str">
        <f>Données!B59</f>
        <v>Moiry</v>
      </c>
      <c r="C59" s="252">
        <f>Données!C59</f>
        <v>295</v>
      </c>
      <c r="D59" s="265"/>
      <c r="E59" s="249">
        <f>Données!X59</f>
        <v>667</v>
      </c>
      <c r="F59" s="286">
        <f t="shared" si="0"/>
        <v>2.2610169491525425</v>
      </c>
      <c r="G59" s="265">
        <f t="shared" si="1"/>
        <v>225.5505695812808</v>
      </c>
      <c r="H59" s="273">
        <f t="shared" si="6"/>
        <v>441.4494304187192</v>
      </c>
      <c r="I59" s="287">
        <f t="shared" si="7"/>
        <v>-47070</v>
      </c>
      <c r="J59" s="265"/>
      <c r="K59" s="274">
        <f>Données!Y59</f>
        <v>0</v>
      </c>
      <c r="L59" s="441">
        <f>Données!Z59</f>
        <v>0.02</v>
      </c>
      <c r="M59" s="265">
        <f t="shared" si="2"/>
        <v>11.728981206726015</v>
      </c>
      <c r="N59" s="287">
        <f t="shared" si="3"/>
        <v>0</v>
      </c>
      <c r="O59" s="265"/>
      <c r="P59" s="249">
        <f>Données!AA59</f>
        <v>40</v>
      </c>
      <c r="Q59" s="284">
        <f>Données!AB59</f>
        <v>25</v>
      </c>
      <c r="R59" s="236">
        <f t="shared" si="8"/>
        <v>43.75</v>
      </c>
      <c r="S59" s="288">
        <f t="shared" si="4"/>
        <v>0.14830508474576271</v>
      </c>
      <c r="T59" s="273">
        <f t="shared" si="5"/>
        <v>40.177914110429427</v>
      </c>
      <c r="U59" s="273">
        <f t="shared" si="9"/>
        <v>3.5720858895705732</v>
      </c>
      <c r="V59" s="287">
        <f t="shared" si="10"/>
        <v>-15235</v>
      </c>
      <c r="W59" s="340"/>
      <c r="X59" s="236">
        <f t="shared" si="11"/>
        <v>-15235</v>
      </c>
      <c r="Y59" s="253">
        <f t="shared" si="12"/>
        <v>0</v>
      </c>
    </row>
    <row r="60" spans="1:25" x14ac:dyDescent="0.25">
      <c r="A60" s="111">
        <f>Données!A60</f>
        <v>5491</v>
      </c>
      <c r="B60" s="119" t="str">
        <f>Données!B60</f>
        <v>Mont-la-Ville</v>
      </c>
      <c r="C60" s="252">
        <f>Données!C60</f>
        <v>504</v>
      </c>
      <c r="D60" s="265"/>
      <c r="E60" s="249">
        <f>Données!X60</f>
        <v>1978</v>
      </c>
      <c r="F60" s="286">
        <f t="shared" si="0"/>
        <v>3.9246031746031744</v>
      </c>
      <c r="G60" s="265">
        <f t="shared" si="1"/>
        <v>385.34741379310344</v>
      </c>
      <c r="H60" s="273">
        <f t="shared" si="6"/>
        <v>1592.6525862068966</v>
      </c>
      <c r="I60" s="287">
        <f t="shared" si="7"/>
        <v>-169820</v>
      </c>
      <c r="J60" s="265"/>
      <c r="K60" s="274">
        <f>Données!Y60</f>
        <v>504</v>
      </c>
      <c r="L60" s="441">
        <f>Données!Z60</f>
        <v>0.14899999999999999</v>
      </c>
      <c r="M60" s="265">
        <f t="shared" si="2"/>
        <v>87.380909990108805</v>
      </c>
      <c r="N60" s="287">
        <f t="shared" si="3"/>
        <v>-44040</v>
      </c>
      <c r="O60" s="265"/>
      <c r="P60" s="249">
        <f>Données!AA60</f>
        <v>63</v>
      </c>
      <c r="Q60" s="284">
        <f>Données!AB60</f>
        <v>48</v>
      </c>
      <c r="R60" s="236">
        <f t="shared" si="8"/>
        <v>70.2</v>
      </c>
      <c r="S60" s="288">
        <f t="shared" si="4"/>
        <v>0.13928571428571429</v>
      </c>
      <c r="T60" s="273">
        <f t="shared" si="5"/>
        <v>68.642944785276043</v>
      </c>
      <c r="U60" s="273">
        <f t="shared" si="9"/>
        <v>1.5570552147239596</v>
      </c>
      <c r="V60" s="287">
        <f t="shared" si="10"/>
        <v>-6641</v>
      </c>
      <c r="W60" s="340"/>
      <c r="X60" s="236">
        <f t="shared" si="11"/>
        <v>-6641</v>
      </c>
      <c r="Y60" s="253">
        <f t="shared" si="12"/>
        <v>0</v>
      </c>
    </row>
    <row r="61" spans="1:25" x14ac:dyDescent="0.25">
      <c r="A61" s="111">
        <f>Données!A61</f>
        <v>5492</v>
      </c>
      <c r="B61" s="119" t="str">
        <f>Données!B61</f>
        <v>Montricher</v>
      </c>
      <c r="C61" s="252">
        <f>Données!C61</f>
        <v>947</v>
      </c>
      <c r="D61" s="265"/>
      <c r="E61" s="249">
        <f>Données!X61</f>
        <v>2579</v>
      </c>
      <c r="F61" s="286">
        <f t="shared" si="0"/>
        <v>2.723336853220697</v>
      </c>
      <c r="G61" s="265">
        <f t="shared" si="1"/>
        <v>724.05555726600983</v>
      </c>
      <c r="H61" s="273">
        <f t="shared" si="6"/>
        <v>1854.9444427339902</v>
      </c>
      <c r="I61" s="287">
        <f t="shared" si="7"/>
        <v>-197787</v>
      </c>
      <c r="J61" s="265"/>
      <c r="K61" s="274">
        <f>Données!Y61</f>
        <v>722</v>
      </c>
      <c r="L61" s="441">
        <f>Données!Z61</f>
        <v>0.27700000000000002</v>
      </c>
      <c r="M61" s="265">
        <f t="shared" si="2"/>
        <v>162.4463897131553</v>
      </c>
      <c r="N61" s="287">
        <f t="shared" si="3"/>
        <v>-117286</v>
      </c>
      <c r="O61" s="265"/>
      <c r="P61" s="249">
        <f>Données!AA61</f>
        <v>95</v>
      </c>
      <c r="Q61" s="284">
        <f>Données!AB61</f>
        <v>57</v>
      </c>
      <c r="R61" s="236">
        <f t="shared" si="8"/>
        <v>103.55</v>
      </c>
      <c r="S61" s="288">
        <f t="shared" si="4"/>
        <v>0.10934530095036958</v>
      </c>
      <c r="T61" s="273">
        <f t="shared" si="5"/>
        <v>128.9779141104294</v>
      </c>
      <c r="U61" s="273">
        <f t="shared" si="9"/>
        <v>0</v>
      </c>
      <c r="V61" s="287">
        <f t="shared" si="10"/>
        <v>0</v>
      </c>
      <c r="W61" s="340"/>
      <c r="X61" s="236">
        <f t="shared" si="11"/>
        <v>0</v>
      </c>
      <c r="Y61" s="253">
        <f t="shared" si="12"/>
        <v>0</v>
      </c>
    </row>
    <row r="62" spans="1:25" x14ac:dyDescent="0.25">
      <c r="A62" s="111">
        <f>Données!A62</f>
        <v>5493</v>
      </c>
      <c r="B62" s="119" t="str">
        <f>Données!B62</f>
        <v>Orny</v>
      </c>
      <c r="C62" s="252">
        <f>Données!C62</f>
        <v>525</v>
      </c>
      <c r="D62" s="265"/>
      <c r="E62" s="249">
        <f>Données!X62</f>
        <v>545</v>
      </c>
      <c r="F62" s="286">
        <f t="shared" si="0"/>
        <v>1.0380952380952382</v>
      </c>
      <c r="G62" s="265">
        <f t="shared" si="1"/>
        <v>401.40355603448273</v>
      </c>
      <c r="H62" s="273">
        <f t="shared" si="6"/>
        <v>143.59644396551727</v>
      </c>
      <c r="I62" s="287">
        <f t="shared" si="7"/>
        <v>-15311</v>
      </c>
      <c r="J62" s="265"/>
      <c r="K62" s="274">
        <f>Données!Y62</f>
        <v>0</v>
      </c>
      <c r="L62" s="441">
        <f>Données!Z62</f>
        <v>8.1000000000000003E-2</v>
      </c>
      <c r="M62" s="265">
        <f t="shared" si="2"/>
        <v>47.50237388724036</v>
      </c>
      <c r="N62" s="287">
        <f t="shared" si="3"/>
        <v>0</v>
      </c>
      <c r="O62" s="265"/>
      <c r="P62" s="249">
        <f>Données!AA62</f>
        <v>58</v>
      </c>
      <c r="Q62" s="284">
        <f>Données!AB62</f>
        <v>1</v>
      </c>
      <c r="R62" s="236">
        <f t="shared" si="8"/>
        <v>58.15</v>
      </c>
      <c r="S62" s="288">
        <f t="shared" si="4"/>
        <v>0.11076190476190476</v>
      </c>
      <c r="T62" s="273">
        <f t="shared" si="5"/>
        <v>71.503067484662537</v>
      </c>
      <c r="U62" s="273">
        <f t="shared" si="9"/>
        <v>0</v>
      </c>
      <c r="V62" s="287">
        <f t="shared" si="10"/>
        <v>0</v>
      </c>
      <c r="W62" s="340"/>
      <c r="X62" s="236">
        <f t="shared" si="11"/>
        <v>0</v>
      </c>
      <c r="Y62" s="253">
        <f t="shared" si="12"/>
        <v>0</v>
      </c>
    </row>
    <row r="63" spans="1:25" x14ac:dyDescent="0.25">
      <c r="A63" s="111">
        <f>Données!A63</f>
        <v>5495</v>
      </c>
      <c r="B63" s="119" t="str">
        <f>Données!B63</f>
        <v>Penthalaz</v>
      </c>
      <c r="C63" s="252">
        <f>Données!C63</f>
        <v>3199</v>
      </c>
      <c r="D63" s="265"/>
      <c r="E63" s="249">
        <f>Données!X63</f>
        <v>380</v>
      </c>
      <c r="F63" s="286">
        <f t="shared" si="0"/>
        <v>0.11878712097530478</v>
      </c>
      <c r="G63" s="265">
        <f t="shared" si="1"/>
        <v>2445.8856681034481</v>
      </c>
      <c r="H63" s="273">
        <f t="shared" si="6"/>
        <v>0</v>
      </c>
      <c r="I63" s="287">
        <f t="shared" si="7"/>
        <v>0</v>
      </c>
      <c r="J63" s="265"/>
      <c r="K63" s="274">
        <f>Données!Y63</f>
        <v>0</v>
      </c>
      <c r="L63" s="441">
        <f>Données!Z63</f>
        <v>9.0999999999999998E-2</v>
      </c>
      <c r="M63" s="265">
        <f t="shared" si="2"/>
        <v>53.366864490603362</v>
      </c>
      <c r="N63" s="287">
        <f t="shared" si="3"/>
        <v>0</v>
      </c>
      <c r="O63" s="265"/>
      <c r="P63" s="249">
        <f>Données!AA63</f>
        <v>421</v>
      </c>
      <c r="Q63" s="284">
        <f>Données!AB63</f>
        <v>146</v>
      </c>
      <c r="R63" s="236">
        <f t="shared" si="8"/>
        <v>442.9</v>
      </c>
      <c r="S63" s="288">
        <f t="shared" si="4"/>
        <v>0.1384495154735855</v>
      </c>
      <c r="T63" s="273">
        <f t="shared" si="5"/>
        <v>435.69202453987708</v>
      </c>
      <c r="U63" s="273">
        <f t="shared" si="9"/>
        <v>7.2079754601228956</v>
      </c>
      <c r="V63" s="287">
        <f t="shared" si="10"/>
        <v>-30743</v>
      </c>
      <c r="W63" s="340"/>
      <c r="X63" s="236">
        <f t="shared" si="11"/>
        <v>-30743</v>
      </c>
      <c r="Y63" s="253">
        <f t="shared" si="12"/>
        <v>0</v>
      </c>
    </row>
    <row r="64" spans="1:25" x14ac:dyDescent="0.25">
      <c r="A64" s="111">
        <f>Données!A64</f>
        <v>5496</v>
      </c>
      <c r="B64" s="119" t="str">
        <f>Données!B64</f>
        <v>Penthaz</v>
      </c>
      <c r="C64" s="252">
        <f>Données!C64</f>
        <v>1910</v>
      </c>
      <c r="D64" s="265"/>
      <c r="E64" s="249">
        <f>Données!X64</f>
        <v>371</v>
      </c>
      <c r="F64" s="286">
        <f t="shared" si="0"/>
        <v>0.19424083769633507</v>
      </c>
      <c r="G64" s="265">
        <f t="shared" si="1"/>
        <v>1460.3443657635469</v>
      </c>
      <c r="H64" s="273">
        <f t="shared" si="6"/>
        <v>0</v>
      </c>
      <c r="I64" s="287">
        <f t="shared" si="7"/>
        <v>0</v>
      </c>
      <c r="J64" s="265"/>
      <c r="K64" s="274">
        <f>Données!Y64</f>
        <v>0</v>
      </c>
      <c r="L64" s="441">
        <f>Données!Z64</f>
        <v>0.06</v>
      </c>
      <c r="M64" s="265">
        <f t="shared" si="2"/>
        <v>35.186943620178042</v>
      </c>
      <c r="N64" s="287">
        <f t="shared" si="3"/>
        <v>0</v>
      </c>
      <c r="O64" s="265"/>
      <c r="P64" s="249">
        <f>Données!AA64</f>
        <v>278</v>
      </c>
      <c r="Q64" s="284">
        <f>Données!AB64</f>
        <v>149</v>
      </c>
      <c r="R64" s="236">
        <f t="shared" si="8"/>
        <v>300.35000000000002</v>
      </c>
      <c r="S64" s="288">
        <f t="shared" si="4"/>
        <v>0.15725130890052358</v>
      </c>
      <c r="T64" s="273">
        <f t="shared" si="5"/>
        <v>260.13496932515324</v>
      </c>
      <c r="U64" s="273">
        <f t="shared" si="9"/>
        <v>40.215030674846787</v>
      </c>
      <c r="V64" s="287">
        <f t="shared" si="10"/>
        <v>-171520</v>
      </c>
      <c r="W64" s="340"/>
      <c r="X64" s="236">
        <f t="shared" si="11"/>
        <v>-95324.629080118684</v>
      </c>
      <c r="Y64" s="253">
        <f t="shared" si="12"/>
        <v>-76195.370919881316</v>
      </c>
    </row>
    <row r="65" spans="1:25" x14ac:dyDescent="0.25">
      <c r="A65" s="111">
        <f>Données!A65</f>
        <v>5497</v>
      </c>
      <c r="B65" s="119" t="str">
        <f>Données!B65</f>
        <v>Pompaples</v>
      </c>
      <c r="C65" s="252">
        <f>Données!C65</f>
        <v>917</v>
      </c>
      <c r="D65" s="265"/>
      <c r="E65" s="249">
        <f>Données!X65</f>
        <v>440</v>
      </c>
      <c r="F65" s="286">
        <f t="shared" si="0"/>
        <v>0.47982551799345691</v>
      </c>
      <c r="G65" s="265">
        <f t="shared" si="1"/>
        <v>701.1182112068966</v>
      </c>
      <c r="H65" s="273">
        <f t="shared" si="6"/>
        <v>0</v>
      </c>
      <c r="I65" s="287">
        <f t="shared" si="7"/>
        <v>0</v>
      </c>
      <c r="J65" s="265"/>
      <c r="K65" s="274">
        <f>Données!Y65</f>
        <v>0</v>
      </c>
      <c r="L65" s="441">
        <f>Données!Z65</f>
        <v>8.1000000000000003E-2</v>
      </c>
      <c r="M65" s="265">
        <f t="shared" si="2"/>
        <v>47.50237388724036</v>
      </c>
      <c r="N65" s="287">
        <f t="shared" si="3"/>
        <v>0</v>
      </c>
      <c r="O65" s="265"/>
      <c r="P65" s="249">
        <f>Données!AA65</f>
        <v>108</v>
      </c>
      <c r="Q65" s="284">
        <f>Données!AB65</f>
        <v>16</v>
      </c>
      <c r="R65" s="236">
        <f t="shared" si="8"/>
        <v>110.4</v>
      </c>
      <c r="S65" s="288">
        <f t="shared" si="4"/>
        <v>0.12039258451472193</v>
      </c>
      <c r="T65" s="273">
        <f t="shared" si="5"/>
        <v>124.89202453987724</v>
      </c>
      <c r="U65" s="273">
        <f t="shared" si="9"/>
        <v>0</v>
      </c>
      <c r="V65" s="287">
        <f t="shared" si="10"/>
        <v>0</v>
      </c>
      <c r="W65" s="340"/>
      <c r="X65" s="236">
        <f t="shared" si="11"/>
        <v>0</v>
      </c>
      <c r="Y65" s="253">
        <f t="shared" si="12"/>
        <v>0</v>
      </c>
    </row>
    <row r="66" spans="1:25" x14ac:dyDescent="0.25">
      <c r="A66" s="111">
        <f>Données!A66</f>
        <v>5498</v>
      </c>
      <c r="B66" s="119" t="str">
        <f>Données!B66</f>
        <v>La Sarraz</v>
      </c>
      <c r="C66" s="252">
        <f>Données!C66</f>
        <v>2609</v>
      </c>
      <c r="D66" s="265"/>
      <c r="E66" s="249">
        <f>Données!X66</f>
        <v>763</v>
      </c>
      <c r="F66" s="286">
        <f t="shared" si="0"/>
        <v>0.29244921425833653</v>
      </c>
      <c r="G66" s="265">
        <f t="shared" si="1"/>
        <v>1994.7845289408867</v>
      </c>
      <c r="H66" s="273">
        <f t="shared" si="6"/>
        <v>0</v>
      </c>
      <c r="I66" s="287">
        <f t="shared" si="7"/>
        <v>0</v>
      </c>
      <c r="J66" s="265"/>
      <c r="K66" s="274">
        <f>Données!Y66</f>
        <v>0</v>
      </c>
      <c r="L66" s="441">
        <f>Données!Z66</f>
        <v>0.1</v>
      </c>
      <c r="M66" s="265">
        <f t="shared" si="2"/>
        <v>58.644906033630072</v>
      </c>
      <c r="N66" s="287">
        <f t="shared" si="3"/>
        <v>0</v>
      </c>
      <c r="O66" s="265"/>
      <c r="P66" s="249">
        <f>Données!AA66</f>
        <v>328</v>
      </c>
      <c r="Q66" s="284">
        <f>Données!AB66</f>
        <v>44</v>
      </c>
      <c r="R66" s="236">
        <f t="shared" si="8"/>
        <v>334.6</v>
      </c>
      <c r="S66" s="288">
        <f t="shared" si="4"/>
        <v>0.1282483710233806</v>
      </c>
      <c r="T66" s="273">
        <f t="shared" si="5"/>
        <v>355.33619631901826</v>
      </c>
      <c r="U66" s="273">
        <f t="shared" si="9"/>
        <v>0</v>
      </c>
      <c r="V66" s="287">
        <f t="shared" si="10"/>
        <v>0</v>
      </c>
      <c r="W66" s="340"/>
      <c r="X66" s="236">
        <f t="shared" si="11"/>
        <v>0</v>
      </c>
      <c r="Y66" s="253">
        <f t="shared" si="12"/>
        <v>0</v>
      </c>
    </row>
    <row r="67" spans="1:25" x14ac:dyDescent="0.25">
      <c r="A67" s="111">
        <f>Données!A67</f>
        <v>5499</v>
      </c>
      <c r="B67" s="119" t="str">
        <f>Données!B67</f>
        <v>Senarclens</v>
      </c>
      <c r="C67" s="252">
        <f>Données!C67</f>
        <v>505</v>
      </c>
      <c r="D67" s="265"/>
      <c r="E67" s="249">
        <f>Données!X67</f>
        <v>391</v>
      </c>
      <c r="F67" s="286">
        <f t="shared" si="0"/>
        <v>0.77425742574257428</v>
      </c>
      <c r="G67" s="265">
        <f t="shared" si="1"/>
        <v>386.11199199507388</v>
      </c>
      <c r="H67" s="273">
        <f t="shared" si="6"/>
        <v>4.888008004926121</v>
      </c>
      <c r="I67" s="287">
        <f t="shared" si="7"/>
        <v>-521</v>
      </c>
      <c r="J67" s="265"/>
      <c r="K67" s="274">
        <f>Données!Y67</f>
        <v>0</v>
      </c>
      <c r="L67" s="441">
        <f>Données!Z67</f>
        <v>6.0000000000000001E-3</v>
      </c>
      <c r="M67" s="265">
        <f t="shared" si="2"/>
        <v>3.5186943620178042</v>
      </c>
      <c r="N67" s="287">
        <f t="shared" si="3"/>
        <v>0</v>
      </c>
      <c r="O67" s="265"/>
      <c r="P67" s="249">
        <f>Données!AA67</f>
        <v>71</v>
      </c>
      <c r="Q67" s="284">
        <f>Données!AB67</f>
        <v>40</v>
      </c>
      <c r="R67" s="236">
        <f t="shared" si="8"/>
        <v>77</v>
      </c>
      <c r="S67" s="288">
        <f t="shared" si="4"/>
        <v>0.15247524752475247</v>
      </c>
      <c r="T67" s="273">
        <f t="shared" si="5"/>
        <v>68.779141104294439</v>
      </c>
      <c r="U67" s="273">
        <f t="shared" si="9"/>
        <v>8.2208588957055611</v>
      </c>
      <c r="V67" s="287">
        <f t="shared" si="10"/>
        <v>-35063</v>
      </c>
      <c r="W67" s="340"/>
      <c r="X67" s="236">
        <f t="shared" si="11"/>
        <v>-25590.504451038574</v>
      </c>
      <c r="Y67" s="253">
        <f t="shared" si="12"/>
        <v>-9472.4955489614258</v>
      </c>
    </row>
    <row r="68" spans="1:25" x14ac:dyDescent="0.25">
      <c r="A68" s="111">
        <f>Données!A68</f>
        <v>5501</v>
      </c>
      <c r="B68" s="119" t="str">
        <f>Données!B68</f>
        <v>Sullens</v>
      </c>
      <c r="C68" s="252">
        <f>Données!C68</f>
        <v>1282</v>
      </c>
      <c r="D68" s="265"/>
      <c r="E68" s="249">
        <f>Données!X68</f>
        <v>390</v>
      </c>
      <c r="F68" s="286">
        <f t="shared" si="0"/>
        <v>0.30421216848673949</v>
      </c>
      <c r="G68" s="265">
        <f t="shared" si="1"/>
        <v>980.18925492610833</v>
      </c>
      <c r="H68" s="273">
        <f t="shared" si="6"/>
        <v>0</v>
      </c>
      <c r="I68" s="287">
        <f t="shared" si="7"/>
        <v>0</v>
      </c>
      <c r="J68" s="265"/>
      <c r="K68" s="274">
        <f>Données!Y68</f>
        <v>0</v>
      </c>
      <c r="L68" s="441">
        <f>Données!Z68</f>
        <v>1.4E-2</v>
      </c>
      <c r="M68" s="265">
        <f t="shared" si="2"/>
        <v>8.2102868447082109</v>
      </c>
      <c r="N68" s="287">
        <f t="shared" si="3"/>
        <v>0</v>
      </c>
      <c r="O68" s="265"/>
      <c r="P68" s="249">
        <f>Données!AA68</f>
        <v>166</v>
      </c>
      <c r="Q68" s="284">
        <f>Données!AB68</f>
        <v>83</v>
      </c>
      <c r="R68" s="236">
        <f t="shared" si="8"/>
        <v>178.45</v>
      </c>
      <c r="S68" s="288">
        <f t="shared" si="4"/>
        <v>0.1391965678627145</v>
      </c>
      <c r="T68" s="273">
        <f t="shared" si="5"/>
        <v>174.60368098159501</v>
      </c>
      <c r="U68" s="273">
        <f t="shared" si="9"/>
        <v>3.8463190184049836</v>
      </c>
      <c r="V68" s="287">
        <f t="shared" si="10"/>
        <v>-16405</v>
      </c>
      <c r="W68" s="340"/>
      <c r="X68" s="236">
        <f t="shared" si="11"/>
        <v>-16405</v>
      </c>
      <c r="Y68" s="253">
        <f t="shared" si="12"/>
        <v>0</v>
      </c>
    </row>
    <row r="69" spans="1:25" x14ac:dyDescent="0.25">
      <c r="A69" s="111">
        <f>Données!A69</f>
        <v>5503</v>
      </c>
      <c r="B69" s="119" t="str">
        <f>Données!B69</f>
        <v>Vufflens-la-Ville</v>
      </c>
      <c r="C69" s="252">
        <f>Données!C69</f>
        <v>1327</v>
      </c>
      <c r="D69" s="265"/>
      <c r="E69" s="249">
        <f>Données!X69</f>
        <v>535</v>
      </c>
      <c r="F69" s="286">
        <f t="shared" si="0"/>
        <v>0.40316503391107761</v>
      </c>
      <c r="G69" s="265">
        <f t="shared" si="1"/>
        <v>1014.5952740147783</v>
      </c>
      <c r="H69" s="273">
        <f t="shared" si="6"/>
        <v>0</v>
      </c>
      <c r="I69" s="287">
        <f t="shared" si="7"/>
        <v>0</v>
      </c>
      <c r="J69" s="265"/>
      <c r="K69" s="274">
        <f>Données!Y69</f>
        <v>0</v>
      </c>
      <c r="L69" s="441">
        <f>Données!Z69</f>
        <v>6.4000000000000001E-2</v>
      </c>
      <c r="M69" s="265">
        <f t="shared" si="2"/>
        <v>37.532739861523247</v>
      </c>
      <c r="N69" s="287">
        <f t="shared" si="3"/>
        <v>0</v>
      </c>
      <c r="O69" s="265"/>
      <c r="P69" s="249">
        <f>Données!AA69</f>
        <v>159</v>
      </c>
      <c r="Q69" s="284">
        <f>Données!AB69</f>
        <v>78</v>
      </c>
      <c r="R69" s="236">
        <f t="shared" si="8"/>
        <v>170.7</v>
      </c>
      <c r="S69" s="288">
        <f t="shared" si="4"/>
        <v>0.12863602110022607</v>
      </c>
      <c r="T69" s="273">
        <f t="shared" si="5"/>
        <v>180.73251533742322</v>
      </c>
      <c r="U69" s="273">
        <f t="shared" si="9"/>
        <v>0</v>
      </c>
      <c r="V69" s="287">
        <f t="shared" si="10"/>
        <v>0</v>
      </c>
      <c r="W69" s="340"/>
      <c r="X69" s="236">
        <f t="shared" si="11"/>
        <v>0</v>
      </c>
      <c r="Y69" s="253">
        <f t="shared" si="12"/>
        <v>0</v>
      </c>
    </row>
    <row r="70" spans="1:25" x14ac:dyDescent="0.25">
      <c r="A70" s="111">
        <f>Données!A70</f>
        <v>5511</v>
      </c>
      <c r="B70" s="119" t="str">
        <f>Données!B70</f>
        <v>Assens</v>
      </c>
      <c r="C70" s="252">
        <f>Données!C70</f>
        <v>1747</v>
      </c>
      <c r="D70" s="265"/>
      <c r="E70" s="249">
        <f>Données!X70</f>
        <v>834</v>
      </c>
      <c r="F70" s="286">
        <f t="shared" si="0"/>
        <v>0.47738981110475098</v>
      </c>
      <c r="G70" s="265">
        <f t="shared" si="1"/>
        <v>1335.7181188423644</v>
      </c>
      <c r="H70" s="273">
        <f t="shared" si="6"/>
        <v>0</v>
      </c>
      <c r="I70" s="287">
        <f t="shared" si="7"/>
        <v>0</v>
      </c>
      <c r="J70" s="265"/>
      <c r="K70" s="274">
        <f>Données!Y70</f>
        <v>0</v>
      </c>
      <c r="L70" s="441">
        <f>Données!Z70</f>
        <v>0.02</v>
      </c>
      <c r="M70" s="265">
        <f t="shared" si="2"/>
        <v>11.728981206726015</v>
      </c>
      <c r="N70" s="287">
        <f t="shared" si="3"/>
        <v>0</v>
      </c>
      <c r="O70" s="265"/>
      <c r="P70" s="249">
        <f>Données!AA70</f>
        <v>215</v>
      </c>
      <c r="Q70" s="284">
        <f>Données!AB70</f>
        <v>120</v>
      </c>
      <c r="R70" s="236">
        <f t="shared" si="8"/>
        <v>233</v>
      </c>
      <c r="S70" s="288">
        <f t="shared" si="4"/>
        <v>0.13337149398969661</v>
      </c>
      <c r="T70" s="273">
        <f t="shared" si="5"/>
        <v>237.93496932515325</v>
      </c>
      <c r="U70" s="273">
        <f t="shared" si="9"/>
        <v>0</v>
      </c>
      <c r="V70" s="287">
        <f t="shared" si="10"/>
        <v>0</v>
      </c>
      <c r="W70" s="340"/>
      <c r="X70" s="236">
        <f t="shared" si="11"/>
        <v>0</v>
      </c>
      <c r="Y70" s="253">
        <f t="shared" si="12"/>
        <v>0</v>
      </c>
    </row>
    <row r="71" spans="1:25" x14ac:dyDescent="0.25">
      <c r="A71" s="111">
        <f>Données!A71</f>
        <v>5512</v>
      </c>
      <c r="B71" s="119" t="str">
        <f>Données!B71</f>
        <v>Bercher</v>
      </c>
      <c r="C71" s="252">
        <f>Données!C71</f>
        <v>1359</v>
      </c>
      <c r="D71" s="265"/>
      <c r="E71" s="249">
        <f>Données!X71</f>
        <v>422</v>
      </c>
      <c r="F71" s="286">
        <f t="shared" si="0"/>
        <v>0.31052244297277409</v>
      </c>
      <c r="G71" s="265">
        <f t="shared" si="1"/>
        <v>1039.0617764778326</v>
      </c>
      <c r="H71" s="273">
        <f t="shared" si="6"/>
        <v>0</v>
      </c>
      <c r="I71" s="287">
        <f t="shared" si="7"/>
        <v>0</v>
      </c>
      <c r="J71" s="265"/>
      <c r="K71" s="274">
        <f>Données!Y71</f>
        <v>0</v>
      </c>
      <c r="L71" s="441">
        <f>Données!Z71</f>
        <v>0.121</v>
      </c>
      <c r="M71" s="265">
        <f t="shared" si="2"/>
        <v>70.96033630069239</v>
      </c>
      <c r="N71" s="287">
        <f t="shared" si="3"/>
        <v>0</v>
      </c>
      <c r="O71" s="265"/>
      <c r="P71" s="249">
        <f>Données!AA71</f>
        <v>184</v>
      </c>
      <c r="Q71" s="284">
        <f>Données!AB71</f>
        <v>8</v>
      </c>
      <c r="R71" s="236">
        <f t="shared" si="8"/>
        <v>185.2</v>
      </c>
      <c r="S71" s="288">
        <f t="shared" si="4"/>
        <v>0.13627667402501839</v>
      </c>
      <c r="T71" s="273">
        <f t="shared" si="5"/>
        <v>185.09079754601217</v>
      </c>
      <c r="U71" s="273">
        <f t="shared" si="9"/>
        <v>0.10920245398781958</v>
      </c>
      <c r="V71" s="287">
        <f t="shared" si="10"/>
        <v>-466</v>
      </c>
      <c r="W71" s="340"/>
      <c r="X71" s="236">
        <f t="shared" si="11"/>
        <v>-466</v>
      </c>
      <c r="Y71" s="253">
        <f t="shared" si="12"/>
        <v>0</v>
      </c>
    </row>
    <row r="72" spans="1:25" x14ac:dyDescent="0.25">
      <c r="A72" s="111">
        <f>Données!A72</f>
        <v>5514</v>
      </c>
      <c r="B72" s="119" t="str">
        <f>Données!B72</f>
        <v>Bottens</v>
      </c>
      <c r="C72" s="252">
        <f>Données!C72</f>
        <v>1389</v>
      </c>
      <c r="D72" s="265"/>
      <c r="E72" s="249">
        <f>Données!X72</f>
        <v>691</v>
      </c>
      <c r="F72" s="286">
        <f t="shared" ref="F72:F135" si="13">E72/C72</f>
        <v>0.49748020158387329</v>
      </c>
      <c r="G72" s="265">
        <f t="shared" ref="G72:G135" si="14">C72*$I$4</f>
        <v>1061.9991225369458</v>
      </c>
      <c r="H72" s="273">
        <f t="shared" si="6"/>
        <v>0</v>
      </c>
      <c r="I72" s="287">
        <f t="shared" si="7"/>
        <v>0</v>
      </c>
      <c r="J72" s="265"/>
      <c r="K72" s="274">
        <f>Données!Y72</f>
        <v>1010</v>
      </c>
      <c r="L72" s="441">
        <f>Données!Z72</f>
        <v>6.3E-2</v>
      </c>
      <c r="M72" s="265">
        <f t="shared" ref="M72:M135" si="15">L72*$N$5</f>
        <v>36.946290801186947</v>
      </c>
      <c r="N72" s="287">
        <f t="shared" ref="N72:N135" si="16">ROUND(-M72*K72,0)</f>
        <v>-37316</v>
      </c>
      <c r="O72" s="265"/>
      <c r="P72" s="249">
        <f>Données!AA72</f>
        <v>194</v>
      </c>
      <c r="Q72" s="284">
        <f>Données!AB72</f>
        <v>103</v>
      </c>
      <c r="R72" s="236">
        <f t="shared" ref="R72:R135" si="17">P72*$P$6+Q72*$Q$6</f>
        <v>209.45</v>
      </c>
      <c r="S72" s="288">
        <f t="shared" ref="S72:S135" si="18">R72/C72</f>
        <v>0.15079193664506838</v>
      </c>
      <c r="T72" s="273">
        <f t="shared" ref="T72:T135" si="19">$V$4*C72</f>
        <v>189.17668711656432</v>
      </c>
      <c r="U72" s="273">
        <f t="shared" si="9"/>
        <v>20.273312883435665</v>
      </c>
      <c r="V72" s="287">
        <f t="shared" si="10"/>
        <v>-86467</v>
      </c>
      <c r="W72" s="340"/>
      <c r="X72" s="236">
        <f t="shared" si="11"/>
        <v>-65895.548961424327</v>
      </c>
      <c r="Y72" s="253">
        <f t="shared" si="12"/>
        <v>-20571.451038575673</v>
      </c>
    </row>
    <row r="73" spans="1:25" x14ac:dyDescent="0.25">
      <c r="A73" s="111">
        <f>Données!A73</f>
        <v>5515</v>
      </c>
      <c r="B73" s="119" t="str">
        <f>Données!B73</f>
        <v>Bretigny-sur-Morrens</v>
      </c>
      <c r="C73" s="252">
        <f>Données!C73</f>
        <v>893</v>
      </c>
      <c r="D73" s="265"/>
      <c r="E73" s="249">
        <f>Données!X73</f>
        <v>283</v>
      </c>
      <c r="F73" s="286">
        <f t="shared" si="13"/>
        <v>0.31690929451287791</v>
      </c>
      <c r="G73" s="265">
        <f t="shared" si="14"/>
        <v>682.76833435960589</v>
      </c>
      <c r="H73" s="273">
        <f t="shared" ref="H73:H136" si="20">IF(E73&gt;G73,E73-G73,0)</f>
        <v>0</v>
      </c>
      <c r="I73" s="287">
        <f t="shared" ref="I73:I136" si="21">ROUND(-H73*$I$5,0)</f>
        <v>0</v>
      </c>
      <c r="J73" s="265"/>
      <c r="K73" s="274">
        <f>Données!Y73</f>
        <v>2</v>
      </c>
      <c r="L73" s="441">
        <f>Données!Z73</f>
        <v>9.0999999999999998E-2</v>
      </c>
      <c r="M73" s="265">
        <f t="shared" si="15"/>
        <v>53.366864490603362</v>
      </c>
      <c r="N73" s="287">
        <f t="shared" si="16"/>
        <v>-107</v>
      </c>
      <c r="O73" s="265"/>
      <c r="P73" s="249">
        <f>Données!AA73</f>
        <v>116</v>
      </c>
      <c r="Q73" s="284">
        <f>Données!AB73</f>
        <v>25</v>
      </c>
      <c r="R73" s="236">
        <f t="shared" si="17"/>
        <v>119.75</v>
      </c>
      <c r="S73" s="288">
        <f t="shared" si="18"/>
        <v>0.13409854423292272</v>
      </c>
      <c r="T73" s="273">
        <f t="shared" si="19"/>
        <v>121.62331288343553</v>
      </c>
      <c r="U73" s="273">
        <f t="shared" ref="U73:U136" si="22">IF(R73&gt;T73,R73-T73,0)</f>
        <v>0</v>
      </c>
      <c r="V73" s="287">
        <f t="shared" ref="V73:V136" si="23">ROUND(-$V$5*U73,0)</f>
        <v>0</v>
      </c>
      <c r="W73" s="340"/>
      <c r="X73" s="236">
        <f t="shared" ref="X73:X136" si="24">IF(-Q73*$Q$6*$V$5&gt;V73,-Q73*$Q$6*$V$5,V73)</f>
        <v>0</v>
      </c>
      <c r="Y73" s="253">
        <f t="shared" ref="Y73:Y136" si="25">IF(X73&gt;V73,V73-X73,0)</f>
        <v>0</v>
      </c>
    </row>
    <row r="74" spans="1:25" x14ac:dyDescent="0.25">
      <c r="A74" s="111">
        <f>Données!A74</f>
        <v>5516</v>
      </c>
      <c r="B74" s="119" t="str">
        <f>Données!B74</f>
        <v>Cugy</v>
      </c>
      <c r="C74" s="252">
        <f>Données!C74</f>
        <v>2824</v>
      </c>
      <c r="D74" s="265"/>
      <c r="E74" s="249">
        <f>Données!X74</f>
        <v>291</v>
      </c>
      <c r="F74" s="286">
        <f t="shared" si="13"/>
        <v>0.10304532577903683</v>
      </c>
      <c r="G74" s="265">
        <f t="shared" si="14"/>
        <v>2159.1688423645319</v>
      </c>
      <c r="H74" s="273">
        <f t="shared" si="20"/>
        <v>0</v>
      </c>
      <c r="I74" s="287">
        <f t="shared" si="21"/>
        <v>0</v>
      </c>
      <c r="J74" s="265"/>
      <c r="K74" s="274">
        <f>Données!Y74</f>
        <v>28</v>
      </c>
      <c r="L74" s="441">
        <f>Données!Z74</f>
        <v>7.1999999999999995E-2</v>
      </c>
      <c r="M74" s="265">
        <f t="shared" si="15"/>
        <v>42.22433234421365</v>
      </c>
      <c r="N74" s="287">
        <f t="shared" si="16"/>
        <v>-1182</v>
      </c>
      <c r="O74" s="265"/>
      <c r="P74" s="249">
        <f>Données!AA74</f>
        <v>350</v>
      </c>
      <c r="Q74" s="284">
        <f>Données!AB74</f>
        <v>42</v>
      </c>
      <c r="R74" s="236">
        <f t="shared" si="17"/>
        <v>356.3</v>
      </c>
      <c r="S74" s="288">
        <f t="shared" si="18"/>
        <v>0.12616855524079321</v>
      </c>
      <c r="T74" s="273">
        <f t="shared" si="19"/>
        <v>384.61840490797528</v>
      </c>
      <c r="U74" s="273">
        <f t="shared" si="22"/>
        <v>0</v>
      </c>
      <c r="V74" s="287">
        <f t="shared" si="23"/>
        <v>0</v>
      </c>
      <c r="W74" s="340"/>
      <c r="X74" s="236">
        <f t="shared" si="24"/>
        <v>0</v>
      </c>
      <c r="Y74" s="253">
        <f t="shared" si="25"/>
        <v>0</v>
      </c>
    </row>
    <row r="75" spans="1:25" x14ac:dyDescent="0.25">
      <c r="A75" s="111">
        <f>Données!A75</f>
        <v>5518</v>
      </c>
      <c r="B75" s="119" t="str">
        <f>Données!B75</f>
        <v>Echallens</v>
      </c>
      <c r="C75" s="252">
        <f>Données!C75</f>
        <v>6816</v>
      </c>
      <c r="D75" s="265"/>
      <c r="E75" s="249">
        <f>Données!X75</f>
        <v>658</v>
      </c>
      <c r="F75" s="286">
        <f t="shared" si="13"/>
        <v>9.6537558685446015E-2</v>
      </c>
      <c r="G75" s="265">
        <f t="shared" si="14"/>
        <v>5211.3650246305415</v>
      </c>
      <c r="H75" s="273">
        <f t="shared" si="20"/>
        <v>0</v>
      </c>
      <c r="I75" s="287">
        <f t="shared" si="21"/>
        <v>0</v>
      </c>
      <c r="J75" s="265"/>
      <c r="K75" s="274">
        <f>Données!Y75</f>
        <v>0</v>
      </c>
      <c r="L75" s="441">
        <f>Données!Z75</f>
        <v>3.2000000000000001E-2</v>
      </c>
      <c r="M75" s="265">
        <f t="shared" si="15"/>
        <v>18.766369930761623</v>
      </c>
      <c r="N75" s="287">
        <f t="shared" si="16"/>
        <v>0</v>
      </c>
      <c r="O75" s="265"/>
      <c r="P75" s="249">
        <f>Données!AA75</f>
        <v>840</v>
      </c>
      <c r="Q75" s="284">
        <f>Données!AB75</f>
        <v>18</v>
      </c>
      <c r="R75" s="236">
        <f t="shared" si="17"/>
        <v>842.7</v>
      </c>
      <c r="S75" s="288">
        <f t="shared" si="18"/>
        <v>0.1236355633802817</v>
      </c>
      <c r="T75" s="273">
        <f t="shared" si="19"/>
        <v>928.3141104294474</v>
      </c>
      <c r="U75" s="273">
        <f t="shared" si="22"/>
        <v>0</v>
      </c>
      <c r="V75" s="287">
        <f t="shared" si="23"/>
        <v>0</v>
      </c>
      <c r="W75" s="340"/>
      <c r="X75" s="236">
        <f t="shared" si="24"/>
        <v>0</v>
      </c>
      <c r="Y75" s="253">
        <f t="shared" si="25"/>
        <v>0</v>
      </c>
    </row>
    <row r="76" spans="1:25" x14ac:dyDescent="0.25">
      <c r="A76" s="111">
        <f>Données!A76</f>
        <v>5520</v>
      </c>
      <c r="B76" s="119" t="str">
        <f>Données!B76</f>
        <v>Essertines-sur-Yverdon</v>
      </c>
      <c r="C76" s="252">
        <f>Données!C76</f>
        <v>1183</v>
      </c>
      <c r="D76" s="265"/>
      <c r="E76" s="249">
        <f>Données!X76</f>
        <v>971</v>
      </c>
      <c r="F76" s="286">
        <f t="shared" si="13"/>
        <v>0.82079459002535926</v>
      </c>
      <c r="G76" s="265">
        <f t="shared" si="14"/>
        <v>904.49601293103444</v>
      </c>
      <c r="H76" s="273">
        <f t="shared" si="20"/>
        <v>66.503987068965557</v>
      </c>
      <c r="I76" s="287">
        <f t="shared" si="21"/>
        <v>-7091</v>
      </c>
      <c r="J76" s="265"/>
      <c r="K76" s="274">
        <f>Données!Y76</f>
        <v>0</v>
      </c>
      <c r="L76" s="441">
        <f>Données!Z76</f>
        <v>5.7000000000000002E-2</v>
      </c>
      <c r="M76" s="265">
        <f t="shared" si="15"/>
        <v>33.427596439169143</v>
      </c>
      <c r="N76" s="287">
        <f t="shared" si="16"/>
        <v>0</v>
      </c>
      <c r="O76" s="265"/>
      <c r="P76" s="249">
        <f>Données!AA76</f>
        <v>180</v>
      </c>
      <c r="Q76" s="284">
        <f>Données!AB76</f>
        <v>110</v>
      </c>
      <c r="R76" s="236">
        <f t="shared" si="17"/>
        <v>196.5</v>
      </c>
      <c r="S76" s="288">
        <f t="shared" si="18"/>
        <v>0.16610312764158919</v>
      </c>
      <c r="T76" s="273">
        <f t="shared" si="19"/>
        <v>161.12024539877294</v>
      </c>
      <c r="U76" s="273">
        <f t="shared" si="22"/>
        <v>35.379754601227063</v>
      </c>
      <c r="V76" s="287">
        <f t="shared" si="23"/>
        <v>-150898</v>
      </c>
      <c r="W76" s="340"/>
      <c r="X76" s="236">
        <f t="shared" si="24"/>
        <v>-70373.887240356082</v>
      </c>
      <c r="Y76" s="253">
        <f t="shared" si="25"/>
        <v>-80524.112759643918</v>
      </c>
    </row>
    <row r="77" spans="1:25" x14ac:dyDescent="0.25">
      <c r="A77" s="111">
        <f>Données!A77</f>
        <v>5521</v>
      </c>
      <c r="B77" s="119" t="str">
        <f>Données!B77</f>
        <v>Etagnières</v>
      </c>
      <c r="C77" s="252">
        <f>Données!C77</f>
        <v>1168</v>
      </c>
      <c r="D77" s="265"/>
      <c r="E77" s="249">
        <f>Données!X77</f>
        <v>376</v>
      </c>
      <c r="F77" s="286">
        <f t="shared" si="13"/>
        <v>0.32191780821917809</v>
      </c>
      <c r="G77" s="265">
        <f t="shared" si="14"/>
        <v>893.02733990147783</v>
      </c>
      <c r="H77" s="273">
        <f t="shared" si="20"/>
        <v>0</v>
      </c>
      <c r="I77" s="287">
        <f t="shared" si="21"/>
        <v>0</v>
      </c>
      <c r="J77" s="265"/>
      <c r="K77" s="274">
        <f>Données!Y77</f>
        <v>0</v>
      </c>
      <c r="L77" s="441">
        <f>Données!Z77</f>
        <v>1.2999999999999999E-2</v>
      </c>
      <c r="M77" s="265">
        <f t="shared" si="15"/>
        <v>7.6238377843719087</v>
      </c>
      <c r="N77" s="287">
        <f t="shared" si="16"/>
        <v>0</v>
      </c>
      <c r="O77" s="265"/>
      <c r="P77" s="249">
        <f>Données!AA77</f>
        <v>130</v>
      </c>
      <c r="Q77" s="284">
        <f>Données!AB77</f>
        <v>44</v>
      </c>
      <c r="R77" s="236">
        <f t="shared" si="17"/>
        <v>136.6</v>
      </c>
      <c r="S77" s="288">
        <f t="shared" si="18"/>
        <v>0.11695205479452055</v>
      </c>
      <c r="T77" s="273">
        <f t="shared" si="19"/>
        <v>159.07730061349685</v>
      </c>
      <c r="U77" s="273">
        <f t="shared" si="22"/>
        <v>0</v>
      </c>
      <c r="V77" s="287">
        <f t="shared" si="23"/>
        <v>0</v>
      </c>
      <c r="W77" s="340"/>
      <c r="X77" s="236">
        <f t="shared" si="24"/>
        <v>0</v>
      </c>
      <c r="Y77" s="253">
        <f t="shared" si="25"/>
        <v>0</v>
      </c>
    </row>
    <row r="78" spans="1:25" x14ac:dyDescent="0.25">
      <c r="A78" s="111">
        <f>Données!A78</f>
        <v>5522</v>
      </c>
      <c r="B78" s="119" t="str">
        <f>Données!B78</f>
        <v>Fey</v>
      </c>
      <c r="C78" s="252">
        <f>Données!C78</f>
        <v>791</v>
      </c>
      <c r="D78" s="265"/>
      <c r="E78" s="249">
        <f>Données!X78</f>
        <v>741</v>
      </c>
      <c r="F78" s="286">
        <f t="shared" si="13"/>
        <v>0.93678887484197215</v>
      </c>
      <c r="G78" s="265">
        <f t="shared" si="14"/>
        <v>604.78135775862074</v>
      </c>
      <c r="H78" s="273">
        <f t="shared" si="20"/>
        <v>136.21864224137926</v>
      </c>
      <c r="I78" s="287">
        <f t="shared" si="21"/>
        <v>-14525</v>
      </c>
      <c r="J78" s="265"/>
      <c r="K78" s="274">
        <f>Données!Y78</f>
        <v>0</v>
      </c>
      <c r="L78" s="441">
        <f>Données!Z78</f>
        <v>7.0999999999999994E-2</v>
      </c>
      <c r="M78" s="265">
        <f t="shared" si="15"/>
        <v>41.637883283877343</v>
      </c>
      <c r="N78" s="287">
        <f t="shared" si="16"/>
        <v>0</v>
      </c>
      <c r="O78" s="265"/>
      <c r="P78" s="249">
        <f>Données!AA78</f>
        <v>111</v>
      </c>
      <c r="Q78" s="284">
        <f>Données!AB78</f>
        <v>107</v>
      </c>
      <c r="R78" s="236">
        <f t="shared" si="17"/>
        <v>127.05</v>
      </c>
      <c r="S78" s="288">
        <f t="shared" si="18"/>
        <v>0.16061946902654867</v>
      </c>
      <c r="T78" s="273">
        <f t="shared" si="19"/>
        <v>107.73128834355823</v>
      </c>
      <c r="U78" s="273">
        <f t="shared" si="22"/>
        <v>19.318711656441764</v>
      </c>
      <c r="V78" s="287">
        <f t="shared" si="23"/>
        <v>-82396</v>
      </c>
      <c r="W78" s="340"/>
      <c r="X78" s="236">
        <f t="shared" si="24"/>
        <v>-68454.599406528185</v>
      </c>
      <c r="Y78" s="253">
        <f t="shared" si="25"/>
        <v>-13941.400593471815</v>
      </c>
    </row>
    <row r="79" spans="1:25" x14ac:dyDescent="0.25">
      <c r="A79" s="111">
        <f>Données!A79</f>
        <v>5523</v>
      </c>
      <c r="B79" s="119" t="str">
        <f>Données!B79</f>
        <v>Froideville</v>
      </c>
      <c r="C79" s="252">
        <f>Données!C79</f>
        <v>2713</v>
      </c>
      <c r="D79" s="265"/>
      <c r="E79" s="249">
        <f>Données!X79</f>
        <v>703</v>
      </c>
      <c r="F79" s="286">
        <f t="shared" si="13"/>
        <v>0.25912274235164023</v>
      </c>
      <c r="G79" s="265">
        <f t="shared" si="14"/>
        <v>2074.3006619458129</v>
      </c>
      <c r="H79" s="273">
        <f t="shared" si="20"/>
        <v>0</v>
      </c>
      <c r="I79" s="287">
        <f t="shared" si="21"/>
        <v>0</v>
      </c>
      <c r="J79" s="265"/>
      <c r="K79" s="274">
        <f>Données!Y79</f>
        <v>2713</v>
      </c>
      <c r="L79" s="441">
        <f>Données!Z79</f>
        <v>3.3000000000000002E-2</v>
      </c>
      <c r="M79" s="265">
        <f t="shared" si="15"/>
        <v>19.352818991097923</v>
      </c>
      <c r="N79" s="287">
        <f t="shared" si="16"/>
        <v>-52504</v>
      </c>
      <c r="O79" s="265"/>
      <c r="P79" s="249">
        <f>Données!AA79</f>
        <v>382</v>
      </c>
      <c r="Q79" s="284">
        <f>Données!AB79</f>
        <v>129</v>
      </c>
      <c r="R79" s="236">
        <f t="shared" si="17"/>
        <v>401.35</v>
      </c>
      <c r="S79" s="288">
        <f t="shared" si="18"/>
        <v>0.14793586435680059</v>
      </c>
      <c r="T79" s="273">
        <f t="shared" si="19"/>
        <v>369.50061349693232</v>
      </c>
      <c r="U79" s="273">
        <f t="shared" si="22"/>
        <v>31.849386503067706</v>
      </c>
      <c r="V79" s="287">
        <f t="shared" si="23"/>
        <v>-135840</v>
      </c>
      <c r="W79" s="340"/>
      <c r="X79" s="236">
        <f t="shared" si="24"/>
        <v>-82529.376854599395</v>
      </c>
      <c r="Y79" s="253">
        <f t="shared" si="25"/>
        <v>-53310.623145400605</v>
      </c>
    </row>
    <row r="80" spans="1:25" x14ac:dyDescent="0.25">
      <c r="A80" s="111">
        <f>Données!A80</f>
        <v>5527</v>
      </c>
      <c r="B80" s="119" t="str">
        <f>Données!B80</f>
        <v>Morrens</v>
      </c>
      <c r="C80" s="252">
        <f>Données!C80</f>
        <v>1145</v>
      </c>
      <c r="D80" s="265"/>
      <c r="E80" s="249">
        <f>Données!X80</f>
        <v>368</v>
      </c>
      <c r="F80" s="286">
        <f t="shared" si="13"/>
        <v>0.32139737991266376</v>
      </c>
      <c r="G80" s="265">
        <f t="shared" si="14"/>
        <v>875.44204125615761</v>
      </c>
      <c r="H80" s="273">
        <f t="shared" si="20"/>
        <v>0</v>
      </c>
      <c r="I80" s="287">
        <f t="shared" si="21"/>
        <v>0</v>
      </c>
      <c r="J80" s="265"/>
      <c r="K80" s="274">
        <f>Données!Y80</f>
        <v>0</v>
      </c>
      <c r="L80" s="441">
        <f>Données!Z80</f>
        <v>5.1999999999999998E-2</v>
      </c>
      <c r="M80" s="265">
        <f t="shared" si="15"/>
        <v>30.495351137487635</v>
      </c>
      <c r="N80" s="287">
        <f t="shared" si="16"/>
        <v>0</v>
      </c>
      <c r="O80" s="265"/>
      <c r="P80" s="249">
        <f>Données!AA80</f>
        <v>162</v>
      </c>
      <c r="Q80" s="284">
        <f>Données!AB80</f>
        <v>11</v>
      </c>
      <c r="R80" s="236">
        <f t="shared" si="17"/>
        <v>163.65</v>
      </c>
      <c r="S80" s="288">
        <f t="shared" si="18"/>
        <v>0.14292576419213973</v>
      </c>
      <c r="T80" s="273">
        <f t="shared" si="19"/>
        <v>155.94478527607353</v>
      </c>
      <c r="U80" s="273">
        <f t="shared" si="22"/>
        <v>7.7052147239264741</v>
      </c>
      <c r="V80" s="287">
        <f t="shared" si="23"/>
        <v>-32863</v>
      </c>
      <c r="W80" s="340"/>
      <c r="X80" s="236">
        <f t="shared" si="24"/>
        <v>-7037.3887240356071</v>
      </c>
      <c r="Y80" s="253">
        <f t="shared" si="25"/>
        <v>-25825.611275964395</v>
      </c>
    </row>
    <row r="81" spans="1:25" x14ac:dyDescent="0.25">
      <c r="A81" s="111">
        <f>Données!A81</f>
        <v>5529</v>
      </c>
      <c r="B81" s="119" t="str">
        <f>Données!B81</f>
        <v>Oulens-sous-Echallens</v>
      </c>
      <c r="C81" s="252">
        <f>Données!C81</f>
        <v>609</v>
      </c>
      <c r="D81" s="265"/>
      <c r="E81" s="249">
        <f>Données!X81</f>
        <v>588</v>
      </c>
      <c r="F81" s="286">
        <f t="shared" si="13"/>
        <v>0.96551724137931039</v>
      </c>
      <c r="G81" s="265">
        <f t="shared" si="14"/>
        <v>465.62812500000001</v>
      </c>
      <c r="H81" s="273">
        <f t="shared" si="20"/>
        <v>122.37187499999999</v>
      </c>
      <c r="I81" s="287">
        <f t="shared" si="21"/>
        <v>-13048</v>
      </c>
      <c r="J81" s="265"/>
      <c r="K81" s="274">
        <f>Données!Y81</f>
        <v>0</v>
      </c>
      <c r="L81" s="441">
        <f>Données!Z81</f>
        <v>3.4000000000000002E-2</v>
      </c>
      <c r="M81" s="265">
        <f t="shared" si="15"/>
        <v>19.939268051434226</v>
      </c>
      <c r="N81" s="287">
        <f t="shared" si="16"/>
        <v>0</v>
      </c>
      <c r="O81" s="265"/>
      <c r="P81" s="249">
        <f>Données!AA81</f>
        <v>77</v>
      </c>
      <c r="Q81" s="284">
        <f>Données!AB81</f>
        <v>55</v>
      </c>
      <c r="R81" s="236">
        <f t="shared" si="17"/>
        <v>85.25</v>
      </c>
      <c r="S81" s="288">
        <f t="shared" si="18"/>
        <v>0.13998357963875205</v>
      </c>
      <c r="T81" s="273">
        <f t="shared" si="19"/>
        <v>82.943558282208556</v>
      </c>
      <c r="U81" s="273">
        <f t="shared" si="22"/>
        <v>2.3064417177914436</v>
      </c>
      <c r="V81" s="287">
        <f t="shared" si="23"/>
        <v>-9837</v>
      </c>
      <c r="W81" s="340"/>
      <c r="X81" s="236">
        <f t="shared" si="24"/>
        <v>-9837</v>
      </c>
      <c r="Y81" s="253">
        <f t="shared" si="25"/>
        <v>0</v>
      </c>
    </row>
    <row r="82" spans="1:25" x14ac:dyDescent="0.25">
      <c r="A82" s="111">
        <f>Données!A82</f>
        <v>5530</v>
      </c>
      <c r="B82" s="119" t="str">
        <f>Données!B82</f>
        <v>Pailly</v>
      </c>
      <c r="C82" s="252">
        <f>Données!C82</f>
        <v>575</v>
      </c>
      <c r="D82" s="265"/>
      <c r="E82" s="249">
        <f>Données!X82</f>
        <v>570</v>
      </c>
      <c r="F82" s="286">
        <f t="shared" si="13"/>
        <v>0.99130434782608701</v>
      </c>
      <c r="G82" s="265">
        <f t="shared" si="14"/>
        <v>439.63246613300493</v>
      </c>
      <c r="H82" s="273">
        <f t="shared" si="20"/>
        <v>130.36753386699507</v>
      </c>
      <c r="I82" s="287">
        <f t="shared" si="21"/>
        <v>-13901</v>
      </c>
      <c r="J82" s="265"/>
      <c r="K82" s="274">
        <f>Données!Y82</f>
        <v>0</v>
      </c>
      <c r="L82" s="441">
        <f>Données!Z82</f>
        <v>0.04</v>
      </c>
      <c r="M82" s="265">
        <f t="shared" si="15"/>
        <v>23.45796241345203</v>
      </c>
      <c r="N82" s="287">
        <f t="shared" si="16"/>
        <v>0</v>
      </c>
      <c r="O82" s="265"/>
      <c r="P82" s="249">
        <f>Données!AA82</f>
        <v>94</v>
      </c>
      <c r="Q82" s="284">
        <f>Données!AB82</f>
        <v>42</v>
      </c>
      <c r="R82" s="236">
        <f t="shared" si="17"/>
        <v>100.3</v>
      </c>
      <c r="S82" s="288">
        <f t="shared" si="18"/>
        <v>0.17443478260869566</v>
      </c>
      <c r="T82" s="273">
        <f t="shared" si="19"/>
        <v>78.312883435582791</v>
      </c>
      <c r="U82" s="273">
        <f t="shared" si="22"/>
        <v>21.987116564417207</v>
      </c>
      <c r="V82" s="287">
        <f t="shared" si="23"/>
        <v>-93777</v>
      </c>
      <c r="W82" s="340"/>
      <c r="X82" s="236">
        <f t="shared" si="24"/>
        <v>-26870.029673590503</v>
      </c>
      <c r="Y82" s="253">
        <f t="shared" si="25"/>
        <v>-66906.970326409501</v>
      </c>
    </row>
    <row r="83" spans="1:25" x14ac:dyDescent="0.25">
      <c r="A83" s="111">
        <f>Données!A83</f>
        <v>5531</v>
      </c>
      <c r="B83" s="119" t="str">
        <f>Données!B83</f>
        <v>Penthéréaz</v>
      </c>
      <c r="C83" s="252">
        <f>Données!C83</f>
        <v>446</v>
      </c>
      <c r="D83" s="265"/>
      <c r="E83" s="249">
        <f>Données!X83</f>
        <v>570</v>
      </c>
      <c r="F83" s="286">
        <f t="shared" si="13"/>
        <v>1.2780269058295963</v>
      </c>
      <c r="G83" s="265">
        <f t="shared" si="14"/>
        <v>341.00187807881775</v>
      </c>
      <c r="H83" s="273">
        <f t="shared" si="20"/>
        <v>228.99812192118225</v>
      </c>
      <c r="I83" s="287">
        <f t="shared" si="21"/>
        <v>-24417</v>
      </c>
      <c r="J83" s="265"/>
      <c r="K83" s="274">
        <f>Données!Y83</f>
        <v>0</v>
      </c>
      <c r="L83" s="441">
        <f>Données!Z83</f>
        <v>0.03</v>
      </c>
      <c r="M83" s="265">
        <f t="shared" si="15"/>
        <v>17.593471810089021</v>
      </c>
      <c r="N83" s="287">
        <f t="shared" si="16"/>
        <v>0</v>
      </c>
      <c r="O83" s="265"/>
      <c r="P83" s="249">
        <f>Données!AA83</f>
        <v>58</v>
      </c>
      <c r="Q83" s="284">
        <f>Données!AB83</f>
        <v>58</v>
      </c>
      <c r="R83" s="236">
        <f t="shared" si="17"/>
        <v>66.7</v>
      </c>
      <c r="S83" s="288">
        <f t="shared" si="18"/>
        <v>0.14955156950672646</v>
      </c>
      <c r="T83" s="273">
        <f t="shared" si="19"/>
        <v>60.743558282208561</v>
      </c>
      <c r="U83" s="273">
        <f t="shared" si="22"/>
        <v>5.9564417177914422</v>
      </c>
      <c r="V83" s="287">
        <f t="shared" si="23"/>
        <v>-25405</v>
      </c>
      <c r="W83" s="340"/>
      <c r="X83" s="236">
        <f t="shared" si="24"/>
        <v>-25405</v>
      </c>
      <c r="Y83" s="253">
        <f t="shared" si="25"/>
        <v>0</v>
      </c>
    </row>
    <row r="84" spans="1:25" x14ac:dyDescent="0.25">
      <c r="A84" s="111">
        <f>Données!A84</f>
        <v>5533</v>
      </c>
      <c r="B84" s="119" t="str">
        <f>Données!B84</f>
        <v>Poliez-Pittet</v>
      </c>
      <c r="C84" s="252">
        <f>Données!C84</f>
        <v>847</v>
      </c>
      <c r="D84" s="265"/>
      <c r="E84" s="249">
        <f>Données!X84</f>
        <v>498</v>
      </c>
      <c r="F84" s="286">
        <f t="shared" si="13"/>
        <v>0.58795749704840616</v>
      </c>
      <c r="G84" s="265">
        <f t="shared" si="14"/>
        <v>647.59773706896556</v>
      </c>
      <c r="H84" s="273">
        <f t="shared" si="20"/>
        <v>0</v>
      </c>
      <c r="I84" s="287">
        <f t="shared" si="21"/>
        <v>0</v>
      </c>
      <c r="J84" s="265"/>
      <c r="K84" s="274">
        <f>Données!Y84</f>
        <v>711</v>
      </c>
      <c r="L84" s="441">
        <f>Données!Z84</f>
        <v>5.3999999999999999E-2</v>
      </c>
      <c r="M84" s="265">
        <f t="shared" si="15"/>
        <v>31.668249258160238</v>
      </c>
      <c r="N84" s="287">
        <f t="shared" si="16"/>
        <v>-22516</v>
      </c>
      <c r="O84" s="265"/>
      <c r="P84" s="249">
        <f>Données!AA84</f>
        <v>133</v>
      </c>
      <c r="Q84" s="284">
        <f>Données!AB84</f>
        <v>46</v>
      </c>
      <c r="R84" s="236">
        <f t="shared" si="17"/>
        <v>139.9</v>
      </c>
      <c r="S84" s="288">
        <f t="shared" si="18"/>
        <v>0.16517119244391973</v>
      </c>
      <c r="T84" s="273">
        <f t="shared" si="19"/>
        <v>115.3582822085889</v>
      </c>
      <c r="U84" s="273">
        <f t="shared" si="22"/>
        <v>24.541717791411102</v>
      </c>
      <c r="V84" s="287">
        <f t="shared" si="23"/>
        <v>-104672</v>
      </c>
      <c r="W84" s="340"/>
      <c r="X84" s="236">
        <f t="shared" si="24"/>
        <v>-29429.080118694357</v>
      </c>
      <c r="Y84" s="253">
        <f t="shared" si="25"/>
        <v>-75242.919881305643</v>
      </c>
    </row>
    <row r="85" spans="1:25" x14ac:dyDescent="0.25">
      <c r="A85" s="111">
        <f>Données!A85</f>
        <v>5534</v>
      </c>
      <c r="B85" s="119" t="str">
        <f>Données!B85</f>
        <v>Rueyres</v>
      </c>
      <c r="C85" s="252">
        <f>Données!C85</f>
        <v>302</v>
      </c>
      <c r="D85" s="265"/>
      <c r="E85" s="249">
        <f>Données!X85</f>
        <v>199</v>
      </c>
      <c r="F85" s="286">
        <f t="shared" si="13"/>
        <v>0.65894039735099341</v>
      </c>
      <c r="G85" s="265">
        <f t="shared" si="14"/>
        <v>230.90261699507388</v>
      </c>
      <c r="H85" s="273">
        <f t="shared" si="20"/>
        <v>0</v>
      </c>
      <c r="I85" s="287">
        <f t="shared" si="21"/>
        <v>0</v>
      </c>
      <c r="J85" s="265"/>
      <c r="K85" s="274">
        <f>Données!Y85</f>
        <v>0</v>
      </c>
      <c r="L85" s="441">
        <f>Données!Z85</f>
        <v>0.10100000000000001</v>
      </c>
      <c r="M85" s="265">
        <f t="shared" si="15"/>
        <v>59.231355093966371</v>
      </c>
      <c r="N85" s="287">
        <f t="shared" si="16"/>
        <v>0</v>
      </c>
      <c r="O85" s="265"/>
      <c r="P85" s="249">
        <f>Données!AA85</f>
        <v>36</v>
      </c>
      <c r="Q85" s="284">
        <f>Données!AB85</f>
        <v>1</v>
      </c>
      <c r="R85" s="236">
        <f t="shared" si="17"/>
        <v>36.15</v>
      </c>
      <c r="S85" s="288">
        <f t="shared" si="18"/>
        <v>0.11970198675496688</v>
      </c>
      <c r="T85" s="273">
        <f t="shared" si="19"/>
        <v>41.131288343558261</v>
      </c>
      <c r="U85" s="273">
        <f t="shared" si="22"/>
        <v>0</v>
      </c>
      <c r="V85" s="287">
        <f t="shared" si="23"/>
        <v>0</v>
      </c>
      <c r="W85" s="340"/>
      <c r="X85" s="236">
        <f t="shared" si="24"/>
        <v>0</v>
      </c>
      <c r="Y85" s="253">
        <f t="shared" si="25"/>
        <v>0</v>
      </c>
    </row>
    <row r="86" spans="1:25" x14ac:dyDescent="0.25">
      <c r="A86" s="111">
        <f>Données!A86</f>
        <v>5535</v>
      </c>
      <c r="B86" s="119" t="str">
        <f>Données!B86</f>
        <v>Saint-Barthélemy</v>
      </c>
      <c r="C86" s="252">
        <f>Données!C86</f>
        <v>838</v>
      </c>
      <c r="D86" s="265"/>
      <c r="E86" s="249">
        <f>Données!X86</f>
        <v>412</v>
      </c>
      <c r="F86" s="286">
        <f t="shared" si="13"/>
        <v>0.49164677804295942</v>
      </c>
      <c r="G86" s="265">
        <f t="shared" si="14"/>
        <v>640.71653325123157</v>
      </c>
      <c r="H86" s="273">
        <f t="shared" si="20"/>
        <v>0</v>
      </c>
      <c r="I86" s="287">
        <f t="shared" si="21"/>
        <v>0</v>
      </c>
      <c r="J86" s="265"/>
      <c r="K86" s="274">
        <f>Données!Y86</f>
        <v>0</v>
      </c>
      <c r="L86" s="441">
        <f>Données!Z86</f>
        <v>2.3E-2</v>
      </c>
      <c r="M86" s="265">
        <f t="shared" si="15"/>
        <v>13.488328387734915</v>
      </c>
      <c r="N86" s="287">
        <f t="shared" si="16"/>
        <v>0</v>
      </c>
      <c r="O86" s="265"/>
      <c r="P86" s="249">
        <f>Données!AA86</f>
        <v>106</v>
      </c>
      <c r="Q86" s="284">
        <f>Données!AB86</f>
        <v>104</v>
      </c>
      <c r="R86" s="236">
        <f t="shared" si="17"/>
        <v>121.6</v>
      </c>
      <c r="S86" s="288">
        <f t="shared" si="18"/>
        <v>0.14510739856801907</v>
      </c>
      <c r="T86" s="273">
        <f t="shared" si="19"/>
        <v>114.13251533742326</v>
      </c>
      <c r="U86" s="273">
        <f t="shared" si="22"/>
        <v>7.4674846625767373</v>
      </c>
      <c r="V86" s="287">
        <f t="shared" si="23"/>
        <v>-31849</v>
      </c>
      <c r="W86" s="340"/>
      <c r="X86" s="236">
        <f t="shared" si="24"/>
        <v>-31849</v>
      </c>
      <c r="Y86" s="253">
        <f t="shared" si="25"/>
        <v>0</v>
      </c>
    </row>
    <row r="87" spans="1:25" x14ac:dyDescent="0.25">
      <c r="A87" s="111">
        <f>Données!A87</f>
        <v>5537</v>
      </c>
      <c r="B87" s="119" t="str">
        <f>Données!B87</f>
        <v>Villars-le-Terroir</v>
      </c>
      <c r="C87" s="252">
        <f>Données!C87</f>
        <v>1334</v>
      </c>
      <c r="D87" s="265"/>
      <c r="E87" s="249">
        <f>Données!X87</f>
        <v>711</v>
      </c>
      <c r="F87" s="286">
        <f t="shared" si="13"/>
        <v>0.53298350824587704</v>
      </c>
      <c r="G87" s="265">
        <f t="shared" si="14"/>
        <v>1019.9473214285714</v>
      </c>
      <c r="H87" s="273">
        <f t="shared" si="20"/>
        <v>0</v>
      </c>
      <c r="I87" s="287">
        <f t="shared" si="21"/>
        <v>0</v>
      </c>
      <c r="J87" s="265"/>
      <c r="K87" s="274">
        <f>Données!Y87</f>
        <v>0</v>
      </c>
      <c r="L87" s="441">
        <f>Données!Z87</f>
        <v>2.3E-2</v>
      </c>
      <c r="M87" s="265">
        <f t="shared" si="15"/>
        <v>13.488328387734915</v>
      </c>
      <c r="N87" s="287">
        <f t="shared" si="16"/>
        <v>0</v>
      </c>
      <c r="O87" s="265"/>
      <c r="P87" s="249">
        <f>Données!AA87</f>
        <v>205</v>
      </c>
      <c r="Q87" s="284">
        <f>Données!AB87</f>
        <v>25</v>
      </c>
      <c r="R87" s="236">
        <f t="shared" si="17"/>
        <v>208.75</v>
      </c>
      <c r="S87" s="288">
        <f t="shared" si="18"/>
        <v>0.15648425787106446</v>
      </c>
      <c r="T87" s="273">
        <f t="shared" si="19"/>
        <v>181.68588957055206</v>
      </c>
      <c r="U87" s="273">
        <f t="shared" si="22"/>
        <v>27.064110429447936</v>
      </c>
      <c r="V87" s="287">
        <f t="shared" si="23"/>
        <v>-115431</v>
      </c>
      <c r="W87" s="340"/>
      <c r="X87" s="236">
        <f t="shared" si="24"/>
        <v>-15994.065281899109</v>
      </c>
      <c r="Y87" s="253">
        <f t="shared" si="25"/>
        <v>-99436.934718100892</v>
      </c>
    </row>
    <row r="88" spans="1:25" x14ac:dyDescent="0.25">
      <c r="A88" s="111">
        <f>Données!A88</f>
        <v>5539</v>
      </c>
      <c r="B88" s="119" t="str">
        <f>Données!B88</f>
        <v>Vuarrens</v>
      </c>
      <c r="C88" s="252">
        <f>Données!C88</f>
        <v>1113</v>
      </c>
      <c r="D88" s="265"/>
      <c r="E88" s="249">
        <f>Données!X88</f>
        <v>895</v>
      </c>
      <c r="F88" s="286">
        <f t="shared" si="13"/>
        <v>0.80413297394429473</v>
      </c>
      <c r="G88" s="265">
        <f t="shared" si="14"/>
        <v>850.9755387931034</v>
      </c>
      <c r="H88" s="273">
        <f t="shared" si="20"/>
        <v>44.024461206896603</v>
      </c>
      <c r="I88" s="287">
        <f t="shared" si="21"/>
        <v>-4694</v>
      </c>
      <c r="J88" s="265"/>
      <c r="K88" s="274">
        <f>Données!Y88</f>
        <v>0</v>
      </c>
      <c r="L88" s="441">
        <f>Données!Z88</f>
        <v>0.02</v>
      </c>
      <c r="M88" s="265">
        <f t="shared" si="15"/>
        <v>11.728981206726015</v>
      </c>
      <c r="N88" s="287">
        <f t="shared" si="16"/>
        <v>0</v>
      </c>
      <c r="O88" s="265"/>
      <c r="P88" s="249">
        <f>Données!AA88</f>
        <v>172</v>
      </c>
      <c r="Q88" s="284">
        <f>Données!AB88</f>
        <v>172</v>
      </c>
      <c r="R88" s="236">
        <f t="shared" si="17"/>
        <v>197.8</v>
      </c>
      <c r="S88" s="288">
        <f t="shared" si="18"/>
        <v>0.17771787960467206</v>
      </c>
      <c r="T88" s="273">
        <f t="shared" si="19"/>
        <v>151.58650306748459</v>
      </c>
      <c r="U88" s="273">
        <f t="shared" si="22"/>
        <v>46.213496932515426</v>
      </c>
      <c r="V88" s="287">
        <f t="shared" si="23"/>
        <v>-197104</v>
      </c>
      <c r="W88" s="340"/>
      <c r="X88" s="236">
        <f t="shared" si="24"/>
        <v>-110039.16913946587</v>
      </c>
      <c r="Y88" s="253">
        <f t="shared" si="25"/>
        <v>-87064.83086053413</v>
      </c>
    </row>
    <row r="89" spans="1:25" x14ac:dyDescent="0.25">
      <c r="A89" s="111">
        <f>Données!A89</f>
        <v>5540</v>
      </c>
      <c r="B89" s="119" t="str">
        <f>Données!B89</f>
        <v>Montilliez</v>
      </c>
      <c r="C89" s="252">
        <f>Données!C89</f>
        <v>1856</v>
      </c>
      <c r="D89" s="265"/>
      <c r="E89" s="249">
        <f>Données!X89</f>
        <v>1183</v>
      </c>
      <c r="F89" s="286">
        <f t="shared" si="13"/>
        <v>0.63739224137931039</v>
      </c>
      <c r="G89" s="265">
        <f t="shared" si="14"/>
        <v>1419.0571428571429</v>
      </c>
      <c r="H89" s="273">
        <f t="shared" si="20"/>
        <v>0</v>
      </c>
      <c r="I89" s="287">
        <f t="shared" si="21"/>
        <v>0</v>
      </c>
      <c r="J89" s="265"/>
      <c r="K89" s="274">
        <f>Données!Y89</f>
        <v>224</v>
      </c>
      <c r="L89" s="441">
        <f>Données!Z89</f>
        <v>5.5E-2</v>
      </c>
      <c r="M89" s="265">
        <f t="shared" si="15"/>
        <v>32.254698318496537</v>
      </c>
      <c r="N89" s="287">
        <f t="shared" si="16"/>
        <v>-7225</v>
      </c>
      <c r="O89" s="265"/>
      <c r="P89" s="249">
        <f>Données!AA89</f>
        <v>222</v>
      </c>
      <c r="Q89" s="284">
        <f>Données!AB89</f>
        <v>131</v>
      </c>
      <c r="R89" s="236">
        <f t="shared" si="17"/>
        <v>241.65</v>
      </c>
      <c r="S89" s="288">
        <f t="shared" si="18"/>
        <v>0.13019935344827588</v>
      </c>
      <c r="T89" s="273">
        <f t="shared" si="19"/>
        <v>252.78036809815939</v>
      </c>
      <c r="U89" s="273">
        <f t="shared" si="22"/>
        <v>0</v>
      </c>
      <c r="V89" s="287">
        <f t="shared" si="23"/>
        <v>0</v>
      </c>
      <c r="W89" s="340"/>
      <c r="X89" s="236">
        <f t="shared" si="24"/>
        <v>0</v>
      </c>
      <c r="Y89" s="253">
        <f t="shared" si="25"/>
        <v>0</v>
      </c>
    </row>
    <row r="90" spans="1:25" x14ac:dyDescent="0.25">
      <c r="A90" s="111">
        <f>Données!A90</f>
        <v>5541</v>
      </c>
      <c r="B90" s="119" t="str">
        <f>Données!B90</f>
        <v>Goumoëns</v>
      </c>
      <c r="C90" s="252">
        <f>Données!C90</f>
        <v>1251</v>
      </c>
      <c r="D90" s="265"/>
      <c r="E90" s="249">
        <f>Données!X90</f>
        <v>1063</v>
      </c>
      <c r="F90" s="286">
        <f t="shared" si="13"/>
        <v>0.84972022382094325</v>
      </c>
      <c r="G90" s="265">
        <f t="shared" si="14"/>
        <v>956.48733066502461</v>
      </c>
      <c r="H90" s="273">
        <f t="shared" si="20"/>
        <v>106.51266933497539</v>
      </c>
      <c r="I90" s="287">
        <f t="shared" si="21"/>
        <v>-11357</v>
      </c>
      <c r="J90" s="265"/>
      <c r="K90" s="274">
        <f>Données!Y90</f>
        <v>0</v>
      </c>
      <c r="L90" s="441">
        <f>Données!Z90</f>
        <v>2.9000000000000001E-2</v>
      </c>
      <c r="M90" s="265">
        <f t="shared" si="15"/>
        <v>17.007022749752721</v>
      </c>
      <c r="N90" s="287">
        <f t="shared" si="16"/>
        <v>0</v>
      </c>
      <c r="O90" s="265"/>
      <c r="P90" s="249">
        <f>Données!AA90</f>
        <v>221</v>
      </c>
      <c r="Q90" s="284">
        <f>Données!AB90</f>
        <v>120</v>
      </c>
      <c r="R90" s="236">
        <f t="shared" si="17"/>
        <v>239</v>
      </c>
      <c r="S90" s="288">
        <f t="shared" si="18"/>
        <v>0.19104716227018384</v>
      </c>
      <c r="T90" s="273">
        <f t="shared" si="19"/>
        <v>170.38159509202447</v>
      </c>
      <c r="U90" s="273">
        <f t="shared" si="22"/>
        <v>68.618404907975531</v>
      </c>
      <c r="V90" s="287">
        <f t="shared" si="23"/>
        <v>-292663</v>
      </c>
      <c r="W90" s="340"/>
      <c r="X90" s="236">
        <f t="shared" si="24"/>
        <v>-76771.513353115719</v>
      </c>
      <c r="Y90" s="253">
        <f t="shared" si="25"/>
        <v>-215891.4866468843</v>
      </c>
    </row>
    <row r="91" spans="1:25" x14ac:dyDescent="0.25">
      <c r="A91" s="111">
        <f>Données!A91</f>
        <v>5551</v>
      </c>
      <c r="B91" s="119" t="str">
        <f>Données!B91</f>
        <v>Bonvillars</v>
      </c>
      <c r="C91" s="252">
        <f>Données!C91</f>
        <v>517</v>
      </c>
      <c r="D91" s="265"/>
      <c r="E91" s="249">
        <f>Données!X91</f>
        <v>741</v>
      </c>
      <c r="F91" s="286">
        <f t="shared" si="13"/>
        <v>1.4332688588007736</v>
      </c>
      <c r="G91" s="265">
        <f t="shared" si="14"/>
        <v>395.28693041871924</v>
      </c>
      <c r="H91" s="273">
        <f t="shared" si="20"/>
        <v>345.71306958128076</v>
      </c>
      <c r="I91" s="287">
        <f t="shared" si="21"/>
        <v>-36862</v>
      </c>
      <c r="J91" s="265"/>
      <c r="K91" s="274">
        <f>Données!Y91</f>
        <v>23</v>
      </c>
      <c r="L91" s="441">
        <f>Données!Z91</f>
        <v>0.155</v>
      </c>
      <c r="M91" s="265">
        <f t="shared" si="15"/>
        <v>90.899604352126602</v>
      </c>
      <c r="N91" s="287">
        <f t="shared" si="16"/>
        <v>-2091</v>
      </c>
      <c r="O91" s="265"/>
      <c r="P91" s="249">
        <f>Données!AA91</f>
        <v>53</v>
      </c>
      <c r="Q91" s="284">
        <f>Données!AB91</f>
        <v>30</v>
      </c>
      <c r="R91" s="236">
        <f t="shared" si="17"/>
        <v>57.5</v>
      </c>
      <c r="S91" s="288">
        <f t="shared" si="18"/>
        <v>0.11121856866537717</v>
      </c>
      <c r="T91" s="273">
        <f t="shared" si="19"/>
        <v>70.413496932515301</v>
      </c>
      <c r="U91" s="273">
        <f t="shared" si="22"/>
        <v>0</v>
      </c>
      <c r="V91" s="287">
        <f t="shared" si="23"/>
        <v>0</v>
      </c>
      <c r="W91" s="340"/>
      <c r="X91" s="236">
        <f t="shared" si="24"/>
        <v>0</v>
      </c>
      <c r="Y91" s="253">
        <f t="shared" si="25"/>
        <v>0</v>
      </c>
    </row>
    <row r="92" spans="1:25" x14ac:dyDescent="0.25">
      <c r="A92" s="111">
        <f>Données!A92</f>
        <v>5552</v>
      </c>
      <c r="B92" s="119" t="str">
        <f>Données!B92</f>
        <v>Bullet</v>
      </c>
      <c r="C92" s="252">
        <f>Données!C92</f>
        <v>687</v>
      </c>
      <c r="D92" s="265"/>
      <c r="E92" s="249">
        <f>Données!X92</f>
        <v>1681</v>
      </c>
      <c r="F92" s="286">
        <f t="shared" si="13"/>
        <v>2.4468704512372637</v>
      </c>
      <c r="G92" s="265">
        <f t="shared" si="14"/>
        <v>525.26522475369461</v>
      </c>
      <c r="H92" s="273">
        <f t="shared" si="20"/>
        <v>1155.7347752463054</v>
      </c>
      <c r="I92" s="287">
        <f t="shared" si="21"/>
        <v>-123233</v>
      </c>
      <c r="J92" s="265"/>
      <c r="K92" s="274">
        <f>Données!Y92</f>
        <v>687</v>
      </c>
      <c r="L92" s="441">
        <f>Données!Z92</f>
        <v>0.16800000000000001</v>
      </c>
      <c r="M92" s="265">
        <f t="shared" si="15"/>
        <v>98.523442136498531</v>
      </c>
      <c r="N92" s="287">
        <f t="shared" si="16"/>
        <v>-67686</v>
      </c>
      <c r="O92" s="265"/>
      <c r="P92" s="249">
        <f>Données!AA92</f>
        <v>72</v>
      </c>
      <c r="Q92" s="284">
        <f>Données!AB92</f>
        <v>38</v>
      </c>
      <c r="R92" s="236">
        <f t="shared" si="17"/>
        <v>77.7</v>
      </c>
      <c r="S92" s="288">
        <f t="shared" si="18"/>
        <v>0.11310043668122272</v>
      </c>
      <c r="T92" s="273">
        <f t="shared" si="19"/>
        <v>93.56687116564413</v>
      </c>
      <c r="U92" s="273">
        <f t="shared" si="22"/>
        <v>0</v>
      </c>
      <c r="V92" s="287">
        <f t="shared" si="23"/>
        <v>0</v>
      </c>
      <c r="W92" s="340"/>
      <c r="X92" s="236">
        <f t="shared" si="24"/>
        <v>0</v>
      </c>
      <c r="Y92" s="253">
        <f t="shared" si="25"/>
        <v>0</v>
      </c>
    </row>
    <row r="93" spans="1:25" x14ac:dyDescent="0.25">
      <c r="A93" s="111">
        <f>Données!A93</f>
        <v>5553</v>
      </c>
      <c r="B93" s="119" t="str">
        <f>Données!B93</f>
        <v>Champagne</v>
      </c>
      <c r="C93" s="252">
        <f>Données!C93</f>
        <v>1087</v>
      </c>
      <c r="D93" s="265"/>
      <c r="E93" s="249">
        <f>Données!X93</f>
        <v>385</v>
      </c>
      <c r="F93" s="286">
        <f t="shared" si="13"/>
        <v>0.35418583256669733</v>
      </c>
      <c r="G93" s="265">
        <f t="shared" si="14"/>
        <v>831.09650554187192</v>
      </c>
      <c r="H93" s="273">
        <f t="shared" si="20"/>
        <v>0</v>
      </c>
      <c r="I93" s="287">
        <f t="shared" si="21"/>
        <v>0</v>
      </c>
      <c r="J93" s="265"/>
      <c r="K93" s="274">
        <f>Données!Y93</f>
        <v>0</v>
      </c>
      <c r="L93" s="441">
        <f>Données!Z93</f>
        <v>6.5000000000000002E-2</v>
      </c>
      <c r="M93" s="265">
        <f t="shared" si="15"/>
        <v>38.119188921859546</v>
      </c>
      <c r="N93" s="287">
        <f t="shared" si="16"/>
        <v>0</v>
      </c>
      <c r="O93" s="265"/>
      <c r="P93" s="249">
        <f>Données!AA93</f>
        <v>117</v>
      </c>
      <c r="Q93" s="284">
        <f>Données!AB93</f>
        <v>61</v>
      </c>
      <c r="R93" s="236">
        <f t="shared" si="17"/>
        <v>126.15</v>
      </c>
      <c r="S93" s="288">
        <f t="shared" si="18"/>
        <v>0.11605335786568538</v>
      </c>
      <c r="T93" s="273">
        <f t="shared" si="19"/>
        <v>148.04539877300607</v>
      </c>
      <c r="U93" s="273">
        <f t="shared" si="22"/>
        <v>0</v>
      </c>
      <c r="V93" s="287">
        <f t="shared" si="23"/>
        <v>0</v>
      </c>
      <c r="W93" s="340"/>
      <c r="X93" s="236">
        <f t="shared" si="24"/>
        <v>0</v>
      </c>
      <c r="Y93" s="253">
        <f t="shared" si="25"/>
        <v>0</v>
      </c>
    </row>
    <row r="94" spans="1:25" x14ac:dyDescent="0.25">
      <c r="A94" s="111">
        <f>Données!A94</f>
        <v>5554</v>
      </c>
      <c r="B94" s="119" t="str">
        <f>Données!B94</f>
        <v>Concise</v>
      </c>
      <c r="C94" s="252">
        <f>Données!C94</f>
        <v>1035</v>
      </c>
      <c r="D94" s="265"/>
      <c r="E94" s="249">
        <f>Données!X94</f>
        <v>1136</v>
      </c>
      <c r="F94" s="286">
        <f t="shared" si="13"/>
        <v>1.097584541062802</v>
      </c>
      <c r="G94" s="265">
        <f t="shared" si="14"/>
        <v>791.33843903940885</v>
      </c>
      <c r="H94" s="273">
        <f t="shared" si="20"/>
        <v>344.66156096059115</v>
      </c>
      <c r="I94" s="287">
        <f t="shared" si="21"/>
        <v>-36750</v>
      </c>
      <c r="J94" s="265"/>
      <c r="K94" s="274">
        <f>Données!Y94</f>
        <v>1</v>
      </c>
      <c r="L94" s="441">
        <f>Données!Z94</f>
        <v>0.251</v>
      </c>
      <c r="M94" s="265">
        <f t="shared" si="15"/>
        <v>147.19871414441147</v>
      </c>
      <c r="N94" s="287">
        <f t="shared" si="16"/>
        <v>-147</v>
      </c>
      <c r="O94" s="265"/>
      <c r="P94" s="249">
        <f>Données!AA94</f>
        <v>124</v>
      </c>
      <c r="Q94" s="284">
        <f>Données!AB94</f>
        <v>61</v>
      </c>
      <c r="R94" s="236">
        <f t="shared" si="17"/>
        <v>133.15</v>
      </c>
      <c r="S94" s="288">
        <f t="shared" si="18"/>
        <v>0.12864734299516908</v>
      </c>
      <c r="T94" s="273">
        <f t="shared" si="19"/>
        <v>140.96319018404901</v>
      </c>
      <c r="U94" s="273">
        <f t="shared" si="22"/>
        <v>0</v>
      </c>
      <c r="V94" s="287">
        <f t="shared" si="23"/>
        <v>0</v>
      </c>
      <c r="W94" s="340"/>
      <c r="X94" s="236">
        <f t="shared" si="24"/>
        <v>0</v>
      </c>
      <c r="Y94" s="253">
        <f t="shared" si="25"/>
        <v>0</v>
      </c>
    </row>
    <row r="95" spans="1:25" x14ac:dyDescent="0.25">
      <c r="A95" s="111">
        <f>Données!A95</f>
        <v>5555</v>
      </c>
      <c r="B95" s="119" t="str">
        <f>Données!B95</f>
        <v>Corcelles-près-Concise</v>
      </c>
      <c r="C95" s="252">
        <f>Données!C95</f>
        <v>439</v>
      </c>
      <c r="D95" s="265"/>
      <c r="E95" s="249">
        <f>Données!X95</f>
        <v>405</v>
      </c>
      <c r="F95" s="286">
        <f t="shared" si="13"/>
        <v>0.92255125284738038</v>
      </c>
      <c r="G95" s="265">
        <f t="shared" si="14"/>
        <v>335.64983066502464</v>
      </c>
      <c r="H95" s="273">
        <f t="shared" si="20"/>
        <v>69.350169334975362</v>
      </c>
      <c r="I95" s="287">
        <f t="shared" si="21"/>
        <v>-7395</v>
      </c>
      <c r="J95" s="265"/>
      <c r="K95" s="274">
        <f>Données!Y95</f>
        <v>0</v>
      </c>
      <c r="L95" s="441">
        <f>Données!Z95</f>
        <v>0.23599999999999999</v>
      </c>
      <c r="M95" s="265">
        <f t="shared" si="15"/>
        <v>138.40197823936697</v>
      </c>
      <c r="N95" s="287">
        <f t="shared" si="16"/>
        <v>0</v>
      </c>
      <c r="O95" s="265"/>
      <c r="P95" s="249">
        <f>Données!AA95</f>
        <v>55</v>
      </c>
      <c r="Q95" s="284">
        <f>Données!AB95</f>
        <v>30</v>
      </c>
      <c r="R95" s="236">
        <f t="shared" si="17"/>
        <v>59.5</v>
      </c>
      <c r="S95" s="288">
        <f t="shared" si="18"/>
        <v>0.13553530751708429</v>
      </c>
      <c r="T95" s="273">
        <f t="shared" si="19"/>
        <v>59.790184049079727</v>
      </c>
      <c r="U95" s="273">
        <f t="shared" si="22"/>
        <v>0</v>
      </c>
      <c r="V95" s="287">
        <f t="shared" si="23"/>
        <v>0</v>
      </c>
      <c r="W95" s="340"/>
      <c r="X95" s="236">
        <f t="shared" si="24"/>
        <v>0</v>
      </c>
      <c r="Y95" s="253">
        <f t="shared" si="25"/>
        <v>0</v>
      </c>
    </row>
    <row r="96" spans="1:25" x14ac:dyDescent="0.25">
      <c r="A96" s="111">
        <f>Données!A96</f>
        <v>5556</v>
      </c>
      <c r="B96" s="119" t="str">
        <f>Données!B96</f>
        <v>Fiez</v>
      </c>
      <c r="C96" s="252">
        <f>Données!C96</f>
        <v>421</v>
      </c>
      <c r="D96" s="265"/>
      <c r="E96" s="249">
        <f>Données!X96</f>
        <v>679</v>
      </c>
      <c r="F96" s="286">
        <f t="shared" si="13"/>
        <v>1.6128266033254157</v>
      </c>
      <c r="G96" s="265">
        <f t="shared" si="14"/>
        <v>321.88742302955666</v>
      </c>
      <c r="H96" s="273">
        <f t="shared" si="20"/>
        <v>357.11257697044334</v>
      </c>
      <c r="I96" s="287">
        <f t="shared" si="21"/>
        <v>-38078</v>
      </c>
      <c r="J96" s="265"/>
      <c r="K96" s="274">
        <f>Données!Y96</f>
        <v>0</v>
      </c>
      <c r="L96" s="441">
        <f>Données!Z96</f>
        <v>0.249</v>
      </c>
      <c r="M96" s="265">
        <f t="shared" si="15"/>
        <v>146.02581602373888</v>
      </c>
      <c r="N96" s="287">
        <f t="shared" si="16"/>
        <v>0</v>
      </c>
      <c r="O96" s="265"/>
      <c r="P96" s="249">
        <f>Données!AA96</f>
        <v>56</v>
      </c>
      <c r="Q96" s="284">
        <f>Données!AB96</f>
        <v>37</v>
      </c>
      <c r="R96" s="236">
        <f t="shared" si="17"/>
        <v>61.55</v>
      </c>
      <c r="S96" s="288">
        <f t="shared" si="18"/>
        <v>0.14619952494061758</v>
      </c>
      <c r="T96" s="273">
        <f t="shared" si="19"/>
        <v>57.338650306748441</v>
      </c>
      <c r="U96" s="273">
        <f t="shared" si="22"/>
        <v>4.2113496932515559</v>
      </c>
      <c r="V96" s="287">
        <f t="shared" si="23"/>
        <v>-17962</v>
      </c>
      <c r="W96" s="340"/>
      <c r="X96" s="236">
        <f t="shared" si="24"/>
        <v>-17962</v>
      </c>
      <c r="Y96" s="253">
        <f t="shared" si="25"/>
        <v>0</v>
      </c>
    </row>
    <row r="97" spans="1:25" x14ac:dyDescent="0.25">
      <c r="A97" s="111">
        <f>Données!A97</f>
        <v>5557</v>
      </c>
      <c r="B97" s="119" t="str">
        <f>Données!B97</f>
        <v>Fontaines-sur-Grandson</v>
      </c>
      <c r="C97" s="252">
        <f>Données!C97</f>
        <v>228</v>
      </c>
      <c r="D97" s="265"/>
      <c r="E97" s="249">
        <f>Données!X97</f>
        <v>790</v>
      </c>
      <c r="F97" s="286">
        <f t="shared" si="13"/>
        <v>3.4649122807017543</v>
      </c>
      <c r="G97" s="265">
        <f t="shared" si="14"/>
        <v>174.32383004926109</v>
      </c>
      <c r="H97" s="273">
        <f t="shared" si="20"/>
        <v>615.67616995073888</v>
      </c>
      <c r="I97" s="287">
        <f t="shared" si="21"/>
        <v>-65648</v>
      </c>
      <c r="J97" s="265"/>
      <c r="K97" s="274">
        <f>Données!Y97</f>
        <v>4</v>
      </c>
      <c r="L97" s="441">
        <f>Données!Z97</f>
        <v>0.223</v>
      </c>
      <c r="M97" s="265">
        <f t="shared" si="15"/>
        <v>130.77814045499505</v>
      </c>
      <c r="N97" s="287">
        <f t="shared" si="16"/>
        <v>-523</v>
      </c>
      <c r="O97" s="265"/>
      <c r="P97" s="249">
        <f>Données!AA97</f>
        <v>24</v>
      </c>
      <c r="Q97" s="284">
        <f>Données!AB97</f>
        <v>19</v>
      </c>
      <c r="R97" s="236">
        <f t="shared" si="17"/>
        <v>26.85</v>
      </c>
      <c r="S97" s="288">
        <f t="shared" si="18"/>
        <v>0.11776315789473685</v>
      </c>
      <c r="T97" s="273">
        <f t="shared" si="19"/>
        <v>31.052760736196305</v>
      </c>
      <c r="U97" s="273">
        <f t="shared" si="22"/>
        <v>0</v>
      </c>
      <c r="V97" s="287">
        <f t="shared" si="23"/>
        <v>0</v>
      </c>
      <c r="W97" s="340"/>
      <c r="X97" s="236">
        <f t="shared" si="24"/>
        <v>0</v>
      </c>
      <c r="Y97" s="253">
        <f t="shared" si="25"/>
        <v>0</v>
      </c>
    </row>
    <row r="98" spans="1:25" x14ac:dyDescent="0.25">
      <c r="A98" s="111">
        <f>Données!A98</f>
        <v>5559</v>
      </c>
      <c r="B98" s="119" t="str">
        <f>Données!B98</f>
        <v>Giez</v>
      </c>
      <c r="C98" s="252">
        <f>Données!C98</f>
        <v>464</v>
      </c>
      <c r="D98" s="265"/>
      <c r="E98" s="249">
        <f>Données!X98</f>
        <v>473</v>
      </c>
      <c r="F98" s="286">
        <f t="shared" si="13"/>
        <v>1.0193965517241379</v>
      </c>
      <c r="G98" s="265">
        <f t="shared" si="14"/>
        <v>354.76428571428573</v>
      </c>
      <c r="H98" s="273">
        <f t="shared" si="20"/>
        <v>118.23571428571427</v>
      </c>
      <c r="I98" s="287">
        <f t="shared" si="21"/>
        <v>-12607</v>
      </c>
      <c r="J98" s="265"/>
      <c r="K98" s="274">
        <f>Données!Y98</f>
        <v>0</v>
      </c>
      <c r="L98" s="441">
        <f>Données!Z98</f>
        <v>0.08</v>
      </c>
      <c r="M98" s="265">
        <f t="shared" si="15"/>
        <v>46.91592482690406</v>
      </c>
      <c r="N98" s="287">
        <f t="shared" si="16"/>
        <v>0</v>
      </c>
      <c r="O98" s="265"/>
      <c r="P98" s="249">
        <f>Données!AA98</f>
        <v>52</v>
      </c>
      <c r="Q98" s="284">
        <f>Données!AB98</f>
        <v>34</v>
      </c>
      <c r="R98" s="236">
        <f t="shared" si="17"/>
        <v>57.1</v>
      </c>
      <c r="S98" s="288">
        <f t="shared" si="18"/>
        <v>0.12306034482758621</v>
      </c>
      <c r="T98" s="273">
        <f t="shared" si="19"/>
        <v>63.195092024539846</v>
      </c>
      <c r="U98" s="273">
        <f t="shared" si="22"/>
        <v>0</v>
      </c>
      <c r="V98" s="287">
        <f t="shared" si="23"/>
        <v>0</v>
      </c>
      <c r="W98" s="340"/>
      <c r="X98" s="236">
        <f t="shared" si="24"/>
        <v>0</v>
      </c>
      <c r="Y98" s="253">
        <f t="shared" si="25"/>
        <v>0</v>
      </c>
    </row>
    <row r="99" spans="1:25" x14ac:dyDescent="0.25">
      <c r="A99" s="111">
        <f>Données!A99</f>
        <v>5560</v>
      </c>
      <c r="B99" s="119" t="str">
        <f>Données!B99</f>
        <v>Grandevent</v>
      </c>
      <c r="C99" s="252">
        <f>Données!C99</f>
        <v>241</v>
      </c>
      <c r="D99" s="265"/>
      <c r="E99" s="249">
        <f>Données!X99</f>
        <v>346</v>
      </c>
      <c r="F99" s="286">
        <f t="shared" si="13"/>
        <v>1.4356846473029046</v>
      </c>
      <c r="G99" s="265">
        <f t="shared" si="14"/>
        <v>184.26334667487686</v>
      </c>
      <c r="H99" s="273">
        <f t="shared" si="20"/>
        <v>161.73665332512314</v>
      </c>
      <c r="I99" s="287">
        <f t="shared" si="21"/>
        <v>-17246</v>
      </c>
      <c r="J99" s="265"/>
      <c r="K99" s="274">
        <f>Données!Y99</f>
        <v>0</v>
      </c>
      <c r="L99" s="441">
        <f>Données!Z99</f>
        <v>0.307</v>
      </c>
      <c r="M99" s="265">
        <f t="shared" si="15"/>
        <v>180.03986152324433</v>
      </c>
      <c r="N99" s="287">
        <f t="shared" si="16"/>
        <v>0</v>
      </c>
      <c r="O99" s="265"/>
      <c r="P99" s="249">
        <f>Données!AA99</f>
        <v>25</v>
      </c>
      <c r="Q99" s="284">
        <f>Données!AB99</f>
        <v>23</v>
      </c>
      <c r="R99" s="236">
        <f t="shared" si="17"/>
        <v>28.45</v>
      </c>
      <c r="S99" s="288">
        <f t="shared" si="18"/>
        <v>0.11804979253112033</v>
      </c>
      <c r="T99" s="273">
        <f t="shared" si="19"/>
        <v>32.82331288343557</v>
      </c>
      <c r="U99" s="273">
        <f t="shared" si="22"/>
        <v>0</v>
      </c>
      <c r="V99" s="287">
        <f t="shared" si="23"/>
        <v>0</v>
      </c>
      <c r="W99" s="340"/>
      <c r="X99" s="236">
        <f t="shared" si="24"/>
        <v>0</v>
      </c>
      <c r="Y99" s="253">
        <f t="shared" si="25"/>
        <v>0</v>
      </c>
    </row>
    <row r="100" spans="1:25" x14ac:dyDescent="0.25">
      <c r="A100" s="111">
        <f>Données!A100</f>
        <v>5561</v>
      </c>
      <c r="B100" s="119" t="str">
        <f>Données!B100</f>
        <v>Grandson</v>
      </c>
      <c r="C100" s="252">
        <f>Données!C100</f>
        <v>3391</v>
      </c>
      <c r="D100" s="265"/>
      <c r="E100" s="249">
        <f>Données!X100</f>
        <v>768</v>
      </c>
      <c r="F100" s="286">
        <f t="shared" si="13"/>
        <v>0.22648186375700383</v>
      </c>
      <c r="G100" s="265">
        <f t="shared" si="14"/>
        <v>2592.6846828817734</v>
      </c>
      <c r="H100" s="273">
        <f t="shared" si="20"/>
        <v>0</v>
      </c>
      <c r="I100" s="287">
        <f t="shared" si="21"/>
        <v>0</v>
      </c>
      <c r="J100" s="265"/>
      <c r="K100" s="274">
        <f>Données!Y100</f>
        <v>0</v>
      </c>
      <c r="L100" s="441">
        <f>Données!Z100</f>
        <v>5.3999999999999999E-2</v>
      </c>
      <c r="M100" s="265">
        <f t="shared" si="15"/>
        <v>31.668249258160238</v>
      </c>
      <c r="N100" s="287">
        <f t="shared" si="16"/>
        <v>0</v>
      </c>
      <c r="O100" s="265"/>
      <c r="P100" s="249">
        <f>Données!AA100</f>
        <v>374</v>
      </c>
      <c r="Q100" s="284">
        <f>Données!AB100</f>
        <v>105</v>
      </c>
      <c r="R100" s="236">
        <f t="shared" si="17"/>
        <v>389.75</v>
      </c>
      <c r="S100" s="288">
        <f t="shared" si="18"/>
        <v>0.11493659687407844</v>
      </c>
      <c r="T100" s="273">
        <f t="shared" si="19"/>
        <v>461.84171779141082</v>
      </c>
      <c r="U100" s="273">
        <f t="shared" si="22"/>
        <v>0</v>
      </c>
      <c r="V100" s="287">
        <f t="shared" si="23"/>
        <v>0</v>
      </c>
      <c r="W100" s="340"/>
      <c r="X100" s="236">
        <f t="shared" si="24"/>
        <v>0</v>
      </c>
      <c r="Y100" s="253">
        <f t="shared" si="25"/>
        <v>0</v>
      </c>
    </row>
    <row r="101" spans="1:25" x14ac:dyDescent="0.25">
      <c r="A101" s="111">
        <f>Données!A101</f>
        <v>5562</v>
      </c>
      <c r="B101" s="119" t="str">
        <f>Données!B101</f>
        <v>Mauborget</v>
      </c>
      <c r="C101" s="252">
        <f>Données!C101</f>
        <v>137</v>
      </c>
      <c r="D101" s="265"/>
      <c r="E101" s="249">
        <f>Données!X101</f>
        <v>551</v>
      </c>
      <c r="F101" s="286">
        <f t="shared" si="13"/>
        <v>4.0218978102189782</v>
      </c>
      <c r="G101" s="265">
        <f t="shared" si="14"/>
        <v>104.74721366995074</v>
      </c>
      <c r="H101" s="273">
        <f t="shared" si="20"/>
        <v>446.25278633004928</v>
      </c>
      <c r="I101" s="287">
        <f t="shared" si="21"/>
        <v>-47583</v>
      </c>
      <c r="J101" s="265"/>
      <c r="K101" s="274">
        <f>Données!Y101</f>
        <v>137</v>
      </c>
      <c r="L101" s="441">
        <f>Données!Z101</f>
        <v>0.30099999999999999</v>
      </c>
      <c r="M101" s="265">
        <f t="shared" si="15"/>
        <v>176.52116716122651</v>
      </c>
      <c r="N101" s="287">
        <f t="shared" si="16"/>
        <v>-24183</v>
      </c>
      <c r="O101" s="265"/>
      <c r="P101" s="249">
        <f>Données!AA101</f>
        <v>8</v>
      </c>
      <c r="Q101" s="284">
        <f>Données!AB101</f>
        <v>8</v>
      </c>
      <c r="R101" s="236">
        <f t="shared" si="17"/>
        <v>9.1999999999999993</v>
      </c>
      <c r="S101" s="288">
        <f t="shared" si="18"/>
        <v>6.7153284671532837E-2</v>
      </c>
      <c r="T101" s="273">
        <f t="shared" si="19"/>
        <v>18.658895705521463</v>
      </c>
      <c r="U101" s="273">
        <f t="shared" si="22"/>
        <v>0</v>
      </c>
      <c r="V101" s="287">
        <f t="shared" si="23"/>
        <v>0</v>
      </c>
      <c r="W101" s="340"/>
      <c r="X101" s="236">
        <f t="shared" si="24"/>
        <v>0</v>
      </c>
      <c r="Y101" s="253">
        <f t="shared" si="25"/>
        <v>0</v>
      </c>
    </row>
    <row r="102" spans="1:25" x14ac:dyDescent="0.25">
      <c r="A102" s="111">
        <f>Données!A102</f>
        <v>5563</v>
      </c>
      <c r="B102" s="119" t="str">
        <f>Données!B102</f>
        <v>Mutrux</v>
      </c>
      <c r="C102" s="252">
        <f>Données!C102</f>
        <v>138</v>
      </c>
      <c r="D102" s="265"/>
      <c r="E102" s="249">
        <f>Données!X102</f>
        <v>320</v>
      </c>
      <c r="F102" s="286">
        <f t="shared" si="13"/>
        <v>2.318840579710145</v>
      </c>
      <c r="G102" s="265">
        <f t="shared" si="14"/>
        <v>105.51179187192118</v>
      </c>
      <c r="H102" s="273">
        <f t="shared" si="20"/>
        <v>214.48820812807884</v>
      </c>
      <c r="I102" s="287">
        <f t="shared" si="21"/>
        <v>-22870</v>
      </c>
      <c r="J102" s="265"/>
      <c r="K102" s="274">
        <f>Données!Y102</f>
        <v>138</v>
      </c>
      <c r="L102" s="441">
        <f>Données!Z102</f>
        <v>0.24399999999999999</v>
      </c>
      <c r="M102" s="265">
        <f t="shared" si="15"/>
        <v>143.09357072205736</v>
      </c>
      <c r="N102" s="287">
        <f t="shared" si="16"/>
        <v>-19747</v>
      </c>
      <c r="O102" s="265"/>
      <c r="P102" s="249">
        <f>Données!AA102</f>
        <v>18</v>
      </c>
      <c r="Q102" s="284">
        <f>Données!AB102</f>
        <v>18</v>
      </c>
      <c r="R102" s="236">
        <f t="shared" si="17"/>
        <v>20.7</v>
      </c>
      <c r="S102" s="288">
        <f t="shared" si="18"/>
        <v>0.15</v>
      </c>
      <c r="T102" s="273">
        <f t="shared" si="19"/>
        <v>18.795092024539869</v>
      </c>
      <c r="U102" s="273">
        <f t="shared" si="22"/>
        <v>1.9049079754601301</v>
      </c>
      <c r="V102" s="287">
        <f t="shared" si="23"/>
        <v>-8125</v>
      </c>
      <c r="W102" s="340"/>
      <c r="X102" s="236">
        <f t="shared" si="24"/>
        <v>-8125</v>
      </c>
      <c r="Y102" s="253">
        <f t="shared" si="25"/>
        <v>0</v>
      </c>
    </row>
    <row r="103" spans="1:25" x14ac:dyDescent="0.25">
      <c r="A103" s="111">
        <f>Données!A103</f>
        <v>5564</v>
      </c>
      <c r="B103" s="119" t="str">
        <f>Données!B103</f>
        <v>Novalles</v>
      </c>
      <c r="C103" s="252">
        <f>Données!C103</f>
        <v>105</v>
      </c>
      <c r="D103" s="265"/>
      <c r="E103" s="249">
        <f>Données!X103</f>
        <v>201</v>
      </c>
      <c r="F103" s="286">
        <f t="shared" si="13"/>
        <v>1.9142857142857144</v>
      </c>
      <c r="G103" s="265">
        <f t="shared" si="14"/>
        <v>80.280711206896555</v>
      </c>
      <c r="H103" s="273">
        <f t="shared" si="20"/>
        <v>120.71928879310344</v>
      </c>
      <c r="I103" s="287">
        <f t="shared" si="21"/>
        <v>-12872</v>
      </c>
      <c r="J103" s="265"/>
      <c r="K103" s="274">
        <f>Données!Y103</f>
        <v>0</v>
      </c>
      <c r="L103" s="441">
        <f>Données!Z103</f>
        <v>0.40899999999999997</v>
      </c>
      <c r="M103" s="265">
        <f t="shared" si="15"/>
        <v>239.85766567754698</v>
      </c>
      <c r="N103" s="287">
        <f t="shared" si="16"/>
        <v>0</v>
      </c>
      <c r="O103" s="265"/>
      <c r="P103" s="249">
        <f>Données!AA103</f>
        <v>17</v>
      </c>
      <c r="Q103" s="284">
        <f>Données!AB103</f>
        <v>17</v>
      </c>
      <c r="R103" s="236">
        <f t="shared" si="17"/>
        <v>19.55</v>
      </c>
      <c r="S103" s="288">
        <f t="shared" si="18"/>
        <v>0.18619047619047618</v>
      </c>
      <c r="T103" s="273">
        <f t="shared" si="19"/>
        <v>14.300613496932508</v>
      </c>
      <c r="U103" s="273">
        <f t="shared" si="22"/>
        <v>5.2493865030674929</v>
      </c>
      <c r="V103" s="287">
        <f t="shared" si="23"/>
        <v>-22389</v>
      </c>
      <c r="W103" s="340"/>
      <c r="X103" s="236">
        <f t="shared" si="24"/>
        <v>-10875.964391691394</v>
      </c>
      <c r="Y103" s="253">
        <f t="shared" si="25"/>
        <v>-11513.035608308606</v>
      </c>
    </row>
    <row r="104" spans="1:25" x14ac:dyDescent="0.25">
      <c r="A104" s="111">
        <f>Données!A104</f>
        <v>5565</v>
      </c>
      <c r="B104" s="119" t="str">
        <f>Données!B104</f>
        <v>Onnens</v>
      </c>
      <c r="C104" s="252">
        <f>Données!C104</f>
        <v>527</v>
      </c>
      <c r="D104" s="265"/>
      <c r="E104" s="249">
        <f>Données!X104</f>
        <v>513</v>
      </c>
      <c r="F104" s="286">
        <f t="shared" si="13"/>
        <v>0.97343453510436428</v>
      </c>
      <c r="G104" s="265">
        <f t="shared" si="14"/>
        <v>402.93271243842366</v>
      </c>
      <c r="H104" s="273">
        <f t="shared" si="20"/>
        <v>110.06728756157634</v>
      </c>
      <c r="I104" s="287">
        <f t="shared" si="21"/>
        <v>-11736</v>
      </c>
      <c r="J104" s="265"/>
      <c r="K104" s="274">
        <f>Données!Y104</f>
        <v>2</v>
      </c>
      <c r="L104" s="441">
        <f>Données!Z104</f>
        <v>0.23899999999999999</v>
      </c>
      <c r="M104" s="265">
        <f t="shared" si="15"/>
        <v>140.16132542037587</v>
      </c>
      <c r="N104" s="287">
        <f t="shared" si="16"/>
        <v>-280</v>
      </c>
      <c r="O104" s="265"/>
      <c r="P104" s="249">
        <f>Données!AA104</f>
        <v>65</v>
      </c>
      <c r="Q104" s="284">
        <f>Données!AB104</f>
        <v>53</v>
      </c>
      <c r="R104" s="236">
        <f t="shared" si="17"/>
        <v>72.95</v>
      </c>
      <c r="S104" s="288">
        <f t="shared" si="18"/>
        <v>0.13842504743833017</v>
      </c>
      <c r="T104" s="273">
        <f t="shared" si="19"/>
        <v>71.775460122699357</v>
      </c>
      <c r="U104" s="273">
        <f t="shared" si="22"/>
        <v>1.1745398773006457</v>
      </c>
      <c r="V104" s="287">
        <f t="shared" si="23"/>
        <v>-5010</v>
      </c>
      <c r="W104" s="340"/>
      <c r="X104" s="236">
        <f t="shared" si="24"/>
        <v>-5010</v>
      </c>
      <c r="Y104" s="253">
        <f t="shared" si="25"/>
        <v>0</v>
      </c>
    </row>
    <row r="105" spans="1:25" x14ac:dyDescent="0.25">
      <c r="A105" s="111">
        <f>Données!A105</f>
        <v>5566</v>
      </c>
      <c r="B105" s="119" t="str">
        <f>Données!B105</f>
        <v>Provence</v>
      </c>
      <c r="C105" s="252">
        <f>Données!C105</f>
        <v>421</v>
      </c>
      <c r="D105" s="265"/>
      <c r="E105" s="249">
        <f>Données!X105</f>
        <v>3183</v>
      </c>
      <c r="F105" s="286">
        <f t="shared" si="13"/>
        <v>7.5605700712589075</v>
      </c>
      <c r="G105" s="265">
        <f t="shared" si="14"/>
        <v>321.88742302955666</v>
      </c>
      <c r="H105" s="273">
        <f t="shared" si="20"/>
        <v>2861.1125769704431</v>
      </c>
      <c r="I105" s="287">
        <f t="shared" si="21"/>
        <v>-305072</v>
      </c>
      <c r="J105" s="265"/>
      <c r="K105" s="274">
        <f>Données!Y105</f>
        <v>419</v>
      </c>
      <c r="L105" s="441">
        <f>Données!Z105</f>
        <v>9.9000000000000005E-2</v>
      </c>
      <c r="M105" s="265">
        <f t="shared" si="15"/>
        <v>58.058456973293772</v>
      </c>
      <c r="N105" s="287">
        <f t="shared" si="16"/>
        <v>-24326</v>
      </c>
      <c r="O105" s="265"/>
      <c r="P105" s="249">
        <f>Données!AA105</f>
        <v>43</v>
      </c>
      <c r="Q105" s="284">
        <f>Données!AB105</f>
        <v>43</v>
      </c>
      <c r="R105" s="236">
        <f t="shared" si="17"/>
        <v>49.45</v>
      </c>
      <c r="S105" s="288">
        <f t="shared" si="18"/>
        <v>0.117458432304038</v>
      </c>
      <c r="T105" s="273">
        <f t="shared" si="19"/>
        <v>57.338650306748441</v>
      </c>
      <c r="U105" s="273">
        <f t="shared" si="22"/>
        <v>0</v>
      </c>
      <c r="V105" s="287">
        <f t="shared" si="23"/>
        <v>0</v>
      </c>
      <c r="W105" s="340"/>
      <c r="X105" s="236">
        <f t="shared" si="24"/>
        <v>0</v>
      </c>
      <c r="Y105" s="253">
        <f t="shared" si="25"/>
        <v>0</v>
      </c>
    </row>
    <row r="106" spans="1:25" x14ac:dyDescent="0.25">
      <c r="A106" s="111">
        <f>Données!A106</f>
        <v>5568</v>
      </c>
      <c r="B106" s="119" t="str">
        <f>Données!B106</f>
        <v>Sainte-Croix</v>
      </c>
      <c r="C106" s="252">
        <f>Données!C106</f>
        <v>5149</v>
      </c>
      <c r="D106" s="265"/>
      <c r="E106" s="249">
        <f>Données!X106</f>
        <v>3882</v>
      </c>
      <c r="F106" s="286">
        <f t="shared" si="13"/>
        <v>0.75393280248591965</v>
      </c>
      <c r="G106" s="265">
        <f t="shared" si="14"/>
        <v>3936.8131619458127</v>
      </c>
      <c r="H106" s="273">
        <f t="shared" si="20"/>
        <v>0</v>
      </c>
      <c r="I106" s="287">
        <f t="shared" si="21"/>
        <v>0</v>
      </c>
      <c r="J106" s="265"/>
      <c r="K106" s="274">
        <f>Données!Y106</f>
        <v>5140</v>
      </c>
      <c r="L106" s="441">
        <f>Données!Z106</f>
        <v>0.29599999999999999</v>
      </c>
      <c r="M106" s="265">
        <f t="shared" si="15"/>
        <v>173.588921859545</v>
      </c>
      <c r="N106" s="287">
        <f t="shared" si="16"/>
        <v>-892247</v>
      </c>
      <c r="O106" s="265"/>
      <c r="P106" s="249">
        <f>Données!AA106</f>
        <v>450</v>
      </c>
      <c r="Q106" s="284">
        <f>Données!AB106</f>
        <v>102</v>
      </c>
      <c r="R106" s="236">
        <f t="shared" si="17"/>
        <v>465.3</v>
      </c>
      <c r="S106" s="288">
        <f t="shared" si="18"/>
        <v>9.0367061565352499E-2</v>
      </c>
      <c r="T106" s="273">
        <f t="shared" si="19"/>
        <v>701.27484662576649</v>
      </c>
      <c r="U106" s="273">
        <f t="shared" si="22"/>
        <v>0</v>
      </c>
      <c r="V106" s="287">
        <f t="shared" si="23"/>
        <v>0</v>
      </c>
      <c r="W106" s="340"/>
      <c r="X106" s="236">
        <f t="shared" si="24"/>
        <v>0</v>
      </c>
      <c r="Y106" s="253">
        <f t="shared" si="25"/>
        <v>0</v>
      </c>
    </row>
    <row r="107" spans="1:25" x14ac:dyDescent="0.25">
      <c r="A107" s="111">
        <f>Données!A107</f>
        <v>5571</v>
      </c>
      <c r="B107" s="119" t="str">
        <f>Données!B107</f>
        <v>Tévenon</v>
      </c>
      <c r="C107" s="252">
        <f>Données!C107</f>
        <v>857</v>
      </c>
      <c r="D107" s="265"/>
      <c r="E107" s="249">
        <f>Données!X107</f>
        <v>1431</v>
      </c>
      <c r="F107" s="286">
        <f t="shared" si="13"/>
        <v>1.6697782963827306</v>
      </c>
      <c r="G107" s="265">
        <f t="shared" si="14"/>
        <v>655.24351908866993</v>
      </c>
      <c r="H107" s="273">
        <f t="shared" si="20"/>
        <v>775.75648091133007</v>
      </c>
      <c r="I107" s="287">
        <f t="shared" si="21"/>
        <v>-82717</v>
      </c>
      <c r="J107" s="265"/>
      <c r="K107" s="274">
        <f>Données!Y107</f>
        <v>625</v>
      </c>
      <c r="L107" s="441">
        <f>Données!Z107</f>
        <v>0.23</v>
      </c>
      <c r="M107" s="265">
        <f t="shared" si="15"/>
        <v>134.88328387734916</v>
      </c>
      <c r="N107" s="287">
        <f t="shared" si="16"/>
        <v>-84302</v>
      </c>
      <c r="O107" s="265"/>
      <c r="P107" s="249">
        <f>Données!AA107</f>
        <v>106</v>
      </c>
      <c r="Q107" s="284">
        <f>Données!AB107</f>
        <v>106</v>
      </c>
      <c r="R107" s="236">
        <f t="shared" si="17"/>
        <v>121.9</v>
      </c>
      <c r="S107" s="288">
        <f t="shared" si="18"/>
        <v>0.14224037339556594</v>
      </c>
      <c r="T107" s="273">
        <f t="shared" si="19"/>
        <v>116.72024539877295</v>
      </c>
      <c r="U107" s="273">
        <f t="shared" si="22"/>
        <v>5.1797546012270601</v>
      </c>
      <c r="V107" s="287">
        <f t="shared" si="23"/>
        <v>-22092</v>
      </c>
      <c r="W107" s="340"/>
      <c r="X107" s="236">
        <f t="shared" si="24"/>
        <v>-22092</v>
      </c>
      <c r="Y107" s="253">
        <f t="shared" si="25"/>
        <v>0</v>
      </c>
    </row>
    <row r="108" spans="1:25" x14ac:dyDescent="0.25">
      <c r="A108" s="111">
        <f>Données!A108</f>
        <v>5581</v>
      </c>
      <c r="B108" s="119" t="str">
        <f>Données!B108</f>
        <v>Belmont-sur-Lausanne</v>
      </c>
      <c r="C108" s="252">
        <f>Données!C108</f>
        <v>3891</v>
      </c>
      <c r="D108" s="265"/>
      <c r="E108" s="249">
        <f>Données!X108</f>
        <v>261</v>
      </c>
      <c r="F108" s="286">
        <f t="shared" si="13"/>
        <v>6.7077872012336157E-2</v>
      </c>
      <c r="G108" s="265">
        <f t="shared" si="14"/>
        <v>2974.9737838669953</v>
      </c>
      <c r="H108" s="273">
        <f t="shared" si="20"/>
        <v>0</v>
      </c>
      <c r="I108" s="287">
        <f t="shared" si="21"/>
        <v>0</v>
      </c>
      <c r="J108" s="265"/>
      <c r="K108" s="274">
        <f>Données!Y108</f>
        <v>258</v>
      </c>
      <c r="L108" s="441">
        <f>Données!Z108</f>
        <v>0.26300000000000001</v>
      </c>
      <c r="M108" s="265">
        <f t="shared" si="15"/>
        <v>154.23610286844709</v>
      </c>
      <c r="N108" s="287">
        <f t="shared" si="16"/>
        <v>-39793</v>
      </c>
      <c r="O108" s="265"/>
      <c r="P108" s="249">
        <f>Données!AA108</f>
        <v>442</v>
      </c>
      <c r="Q108" s="284">
        <f>Données!AB108</f>
        <v>97</v>
      </c>
      <c r="R108" s="236">
        <f t="shared" si="17"/>
        <v>456.55</v>
      </c>
      <c r="S108" s="288">
        <f t="shared" si="18"/>
        <v>0.11733487535337959</v>
      </c>
      <c r="T108" s="273">
        <f t="shared" si="19"/>
        <v>529.93987730061326</v>
      </c>
      <c r="U108" s="273">
        <f t="shared" si="22"/>
        <v>0</v>
      </c>
      <c r="V108" s="287">
        <f t="shared" si="23"/>
        <v>0</v>
      </c>
      <c r="W108" s="340"/>
      <c r="X108" s="236">
        <f t="shared" si="24"/>
        <v>0</v>
      </c>
      <c r="Y108" s="253">
        <f t="shared" si="25"/>
        <v>0</v>
      </c>
    </row>
    <row r="109" spans="1:25" x14ac:dyDescent="0.25">
      <c r="A109" s="111">
        <f>Données!A109</f>
        <v>5582</v>
      </c>
      <c r="B109" s="119" t="str">
        <f>Données!B109</f>
        <v>Cheseaux-sur-Lausanne</v>
      </c>
      <c r="C109" s="252">
        <f>Données!C109</f>
        <v>4870</v>
      </c>
      <c r="D109" s="265"/>
      <c r="E109" s="249">
        <f>Données!X109</f>
        <v>453</v>
      </c>
      <c r="F109" s="286">
        <f t="shared" si="13"/>
        <v>9.3018480492813138E-2</v>
      </c>
      <c r="G109" s="265">
        <f t="shared" si="14"/>
        <v>3723.4958435960593</v>
      </c>
      <c r="H109" s="273">
        <f t="shared" si="20"/>
        <v>0</v>
      </c>
      <c r="I109" s="287">
        <f t="shared" si="21"/>
        <v>0</v>
      </c>
      <c r="J109" s="265"/>
      <c r="K109" s="274">
        <f>Données!Y109</f>
        <v>0</v>
      </c>
      <c r="L109" s="441">
        <f>Données!Z109</f>
        <v>3.1E-2</v>
      </c>
      <c r="M109" s="265">
        <f t="shared" si="15"/>
        <v>18.17992087042532</v>
      </c>
      <c r="N109" s="287">
        <f t="shared" si="16"/>
        <v>0</v>
      </c>
      <c r="O109" s="265"/>
      <c r="P109" s="249">
        <f>Données!AA109</f>
        <v>530</v>
      </c>
      <c r="Q109" s="284">
        <f>Données!AB109</f>
        <v>21</v>
      </c>
      <c r="R109" s="236">
        <f t="shared" si="17"/>
        <v>533.15</v>
      </c>
      <c r="S109" s="288">
        <f t="shared" si="18"/>
        <v>0.10947638603696098</v>
      </c>
      <c r="T109" s="273">
        <f t="shared" si="19"/>
        <v>663.27607361963157</v>
      </c>
      <c r="U109" s="273">
        <f t="shared" si="22"/>
        <v>0</v>
      </c>
      <c r="V109" s="287">
        <f t="shared" si="23"/>
        <v>0</v>
      </c>
      <c r="W109" s="340"/>
      <c r="X109" s="236">
        <f t="shared" si="24"/>
        <v>0</v>
      </c>
      <c r="Y109" s="253">
        <f t="shared" si="25"/>
        <v>0</v>
      </c>
    </row>
    <row r="110" spans="1:25" x14ac:dyDescent="0.25">
      <c r="A110" s="111">
        <f>Données!A110</f>
        <v>5583</v>
      </c>
      <c r="B110" s="119" t="str">
        <f>Données!B110</f>
        <v>Crissier</v>
      </c>
      <c r="C110" s="252">
        <f>Données!C110</f>
        <v>11116</v>
      </c>
      <c r="D110" s="265"/>
      <c r="E110" s="249">
        <f>Données!X110</f>
        <v>550</v>
      </c>
      <c r="F110" s="286">
        <f t="shared" si="13"/>
        <v>4.9478229578985247E-2</v>
      </c>
      <c r="G110" s="265">
        <f t="shared" si="14"/>
        <v>8499.0512931034482</v>
      </c>
      <c r="H110" s="273">
        <f t="shared" si="20"/>
        <v>0</v>
      </c>
      <c r="I110" s="287">
        <f t="shared" si="21"/>
        <v>0</v>
      </c>
      <c r="J110" s="265"/>
      <c r="K110" s="274">
        <f>Données!Y110</f>
        <v>0</v>
      </c>
      <c r="L110" s="441">
        <f>Données!Z110</f>
        <v>0.109</v>
      </c>
      <c r="M110" s="265">
        <f t="shared" si="15"/>
        <v>63.922947576656775</v>
      </c>
      <c r="N110" s="287">
        <f t="shared" si="16"/>
        <v>0</v>
      </c>
      <c r="O110" s="265"/>
      <c r="P110" s="249">
        <f>Données!AA110</f>
        <v>1208</v>
      </c>
      <c r="Q110" s="284">
        <f>Données!AB110</f>
        <v>36</v>
      </c>
      <c r="R110" s="236">
        <f t="shared" si="17"/>
        <v>1213.4000000000001</v>
      </c>
      <c r="S110" s="288">
        <f t="shared" si="18"/>
        <v>0.10915797049298309</v>
      </c>
      <c r="T110" s="273">
        <f t="shared" si="19"/>
        <v>1513.9582822085883</v>
      </c>
      <c r="U110" s="273">
        <f t="shared" si="22"/>
        <v>0</v>
      </c>
      <c r="V110" s="287">
        <f t="shared" si="23"/>
        <v>0</v>
      </c>
      <c r="W110" s="340"/>
      <c r="X110" s="236">
        <f t="shared" si="24"/>
        <v>0</v>
      </c>
      <c r="Y110" s="253">
        <f t="shared" si="25"/>
        <v>0</v>
      </c>
    </row>
    <row r="111" spans="1:25" x14ac:dyDescent="0.25">
      <c r="A111" s="111">
        <f>Données!A111</f>
        <v>5584</v>
      </c>
      <c r="B111" s="119" t="str">
        <f>Données!B111</f>
        <v>Epalinges</v>
      </c>
      <c r="C111" s="252">
        <f>Données!C111</f>
        <v>9869</v>
      </c>
      <c r="D111" s="265"/>
      <c r="E111" s="249">
        <f>Données!X111</f>
        <v>460</v>
      </c>
      <c r="F111" s="286">
        <f t="shared" si="13"/>
        <v>4.6610598844867769E-2</v>
      </c>
      <c r="G111" s="265">
        <f t="shared" si="14"/>
        <v>7545.6222752463054</v>
      </c>
      <c r="H111" s="273">
        <f t="shared" si="20"/>
        <v>0</v>
      </c>
      <c r="I111" s="287">
        <f t="shared" si="21"/>
        <v>0</v>
      </c>
      <c r="J111" s="265"/>
      <c r="K111" s="274">
        <f>Données!Y111</f>
        <v>6546</v>
      </c>
      <c r="L111" s="441">
        <f>Données!Z111</f>
        <v>0.17499999999999999</v>
      </c>
      <c r="M111" s="265">
        <f t="shared" si="15"/>
        <v>102.62858555885262</v>
      </c>
      <c r="N111" s="287">
        <f t="shared" si="16"/>
        <v>-671807</v>
      </c>
      <c r="O111" s="265"/>
      <c r="P111" s="249">
        <f>Données!AA111</f>
        <v>1143</v>
      </c>
      <c r="Q111" s="284">
        <f>Données!AB111</f>
        <v>156</v>
      </c>
      <c r="R111" s="236">
        <f t="shared" si="17"/>
        <v>1166.4000000000001</v>
      </c>
      <c r="S111" s="288">
        <f t="shared" si="18"/>
        <v>0.11818826628837775</v>
      </c>
      <c r="T111" s="273">
        <f t="shared" si="19"/>
        <v>1344.1214723926373</v>
      </c>
      <c r="U111" s="273">
        <f t="shared" si="22"/>
        <v>0</v>
      </c>
      <c r="V111" s="287">
        <f t="shared" si="23"/>
        <v>0</v>
      </c>
      <c r="W111" s="340"/>
      <c r="X111" s="236">
        <f t="shared" si="24"/>
        <v>0</v>
      </c>
      <c r="Y111" s="253">
        <f t="shared" si="25"/>
        <v>0</v>
      </c>
    </row>
    <row r="112" spans="1:25" x14ac:dyDescent="0.25">
      <c r="A112" s="111">
        <f>Données!A112</f>
        <v>5585</v>
      </c>
      <c r="B112" s="119" t="str">
        <f>Données!B112</f>
        <v>Jouxtens-Mézery</v>
      </c>
      <c r="C112" s="252">
        <f>Données!C112</f>
        <v>1455</v>
      </c>
      <c r="D112" s="265"/>
      <c r="E112" s="249">
        <f>Données!X112</f>
        <v>191</v>
      </c>
      <c r="F112" s="286">
        <f t="shared" si="13"/>
        <v>0.13127147766323025</v>
      </c>
      <c r="G112" s="265">
        <f t="shared" si="14"/>
        <v>1112.461283866995</v>
      </c>
      <c r="H112" s="273">
        <f t="shared" si="20"/>
        <v>0</v>
      </c>
      <c r="I112" s="287">
        <f t="shared" si="21"/>
        <v>0</v>
      </c>
      <c r="J112" s="265"/>
      <c r="K112" s="274">
        <f>Données!Y112</f>
        <v>0</v>
      </c>
      <c r="L112" s="441">
        <f>Données!Z112</f>
        <v>9.9000000000000005E-2</v>
      </c>
      <c r="M112" s="265">
        <f t="shared" si="15"/>
        <v>58.058456973293772</v>
      </c>
      <c r="N112" s="287">
        <f t="shared" si="16"/>
        <v>0</v>
      </c>
      <c r="O112" s="265"/>
      <c r="P112" s="249">
        <f>Données!AA112</f>
        <v>152</v>
      </c>
      <c r="Q112" s="284">
        <f>Données!AB112</f>
        <v>29</v>
      </c>
      <c r="R112" s="236">
        <f t="shared" si="17"/>
        <v>156.35</v>
      </c>
      <c r="S112" s="288">
        <f t="shared" si="18"/>
        <v>0.10745704467353952</v>
      </c>
      <c r="T112" s="273">
        <f t="shared" si="19"/>
        <v>198.16564417177904</v>
      </c>
      <c r="U112" s="273">
        <f t="shared" si="22"/>
        <v>0</v>
      </c>
      <c r="V112" s="287">
        <f t="shared" si="23"/>
        <v>0</v>
      </c>
      <c r="W112" s="340"/>
      <c r="X112" s="236">
        <f t="shared" si="24"/>
        <v>0</v>
      </c>
      <c r="Y112" s="253">
        <f t="shared" si="25"/>
        <v>0</v>
      </c>
    </row>
    <row r="113" spans="1:25" x14ac:dyDescent="0.25">
      <c r="A113" s="111">
        <f>Données!A113</f>
        <v>5586</v>
      </c>
      <c r="B113" s="119" t="str">
        <f>Données!B113</f>
        <v>Lausanne</v>
      </c>
      <c r="C113" s="252">
        <f>Données!C113</f>
        <v>145707</v>
      </c>
      <c r="D113" s="265"/>
      <c r="E113" s="249">
        <f>Données!X113</f>
        <v>4127</v>
      </c>
      <c r="F113" s="286">
        <f t="shared" si="13"/>
        <v>2.8323965217868736E-2</v>
      </c>
      <c r="G113" s="265">
        <f t="shared" si="14"/>
        <v>111404.39607450739</v>
      </c>
      <c r="H113" s="273">
        <f t="shared" si="20"/>
        <v>0</v>
      </c>
      <c r="I113" s="287">
        <f t="shared" si="21"/>
        <v>0</v>
      </c>
      <c r="J113" s="265"/>
      <c r="K113" s="274">
        <f>Données!Y113</f>
        <v>3869</v>
      </c>
      <c r="L113" s="441">
        <f>Données!Z113</f>
        <v>0.106</v>
      </c>
      <c r="M113" s="265">
        <f t="shared" si="15"/>
        <v>62.163600395647876</v>
      </c>
      <c r="N113" s="287">
        <f t="shared" si="16"/>
        <v>-240511</v>
      </c>
      <c r="O113" s="265"/>
      <c r="P113" s="249">
        <f>Données!AA113</f>
        <v>14469</v>
      </c>
      <c r="Q113" s="284">
        <f>Données!AB113</f>
        <v>801</v>
      </c>
      <c r="R113" s="236">
        <f t="shared" si="17"/>
        <v>14589.15</v>
      </c>
      <c r="S113" s="288">
        <f t="shared" si="18"/>
        <v>0.10012662397825774</v>
      </c>
      <c r="T113" s="273">
        <f t="shared" si="19"/>
        <v>19844.757055214715</v>
      </c>
      <c r="U113" s="273">
        <f t="shared" si="22"/>
        <v>0</v>
      </c>
      <c r="V113" s="287">
        <f t="shared" si="23"/>
        <v>0</v>
      </c>
      <c r="W113" s="340"/>
      <c r="X113" s="236">
        <f t="shared" si="24"/>
        <v>0</v>
      </c>
      <c r="Y113" s="253">
        <f t="shared" si="25"/>
        <v>0</v>
      </c>
    </row>
    <row r="114" spans="1:25" x14ac:dyDescent="0.25">
      <c r="A114" s="111">
        <f>Données!A114</f>
        <v>5587</v>
      </c>
      <c r="B114" s="119" t="str">
        <f>Données!B114</f>
        <v>Le Mont-sur-Lausanne</v>
      </c>
      <c r="C114" s="252">
        <f>Données!C114</f>
        <v>9785</v>
      </c>
      <c r="D114" s="265"/>
      <c r="E114" s="249">
        <f>Données!X114</f>
        <v>971</v>
      </c>
      <c r="F114" s="286">
        <f t="shared" si="13"/>
        <v>9.9233520694941235E-2</v>
      </c>
      <c r="G114" s="265">
        <f t="shared" si="14"/>
        <v>7481.397706280788</v>
      </c>
      <c r="H114" s="273">
        <f t="shared" si="20"/>
        <v>0</v>
      </c>
      <c r="I114" s="287">
        <f t="shared" si="21"/>
        <v>0</v>
      </c>
      <c r="J114" s="265"/>
      <c r="K114" s="274">
        <f>Données!Y114</f>
        <v>627</v>
      </c>
      <c r="L114" s="441">
        <f>Données!Z114</f>
        <v>8.5000000000000006E-2</v>
      </c>
      <c r="M114" s="265">
        <f t="shared" si="15"/>
        <v>49.848170128585565</v>
      </c>
      <c r="N114" s="287">
        <f t="shared" si="16"/>
        <v>-31255</v>
      </c>
      <c r="O114" s="265"/>
      <c r="P114" s="249">
        <f>Données!AA114</f>
        <v>1311</v>
      </c>
      <c r="Q114" s="284">
        <f>Données!AB114</f>
        <v>47</v>
      </c>
      <c r="R114" s="236">
        <f t="shared" si="17"/>
        <v>1318.05</v>
      </c>
      <c r="S114" s="288">
        <f t="shared" si="18"/>
        <v>0.13470107307102708</v>
      </c>
      <c r="T114" s="273">
        <f t="shared" si="19"/>
        <v>1332.6809815950915</v>
      </c>
      <c r="U114" s="273">
        <f t="shared" si="22"/>
        <v>0</v>
      </c>
      <c r="V114" s="287">
        <f t="shared" si="23"/>
        <v>0</v>
      </c>
      <c r="W114" s="340"/>
      <c r="X114" s="236">
        <f t="shared" si="24"/>
        <v>0</v>
      </c>
      <c r="Y114" s="253">
        <f t="shared" si="25"/>
        <v>0</v>
      </c>
    </row>
    <row r="115" spans="1:25" x14ac:dyDescent="0.25">
      <c r="A115" s="111">
        <f>Données!A115</f>
        <v>5588</v>
      </c>
      <c r="B115" s="119" t="str">
        <f>Données!B115</f>
        <v>Paudex</v>
      </c>
      <c r="C115" s="252">
        <f>Données!C115</f>
        <v>1483</v>
      </c>
      <c r="D115" s="265"/>
      <c r="E115" s="249">
        <f>Données!X115</f>
        <v>50</v>
      </c>
      <c r="F115" s="286">
        <f t="shared" si="13"/>
        <v>3.3715441672285906E-2</v>
      </c>
      <c r="G115" s="265">
        <f t="shared" si="14"/>
        <v>1133.8694735221675</v>
      </c>
      <c r="H115" s="273">
        <f t="shared" si="20"/>
        <v>0</v>
      </c>
      <c r="I115" s="287">
        <f t="shared" si="21"/>
        <v>0</v>
      </c>
      <c r="J115" s="265"/>
      <c r="K115" s="274">
        <f>Données!Y115</f>
        <v>0</v>
      </c>
      <c r="L115" s="441">
        <f>Données!Z115</f>
        <v>0.248</v>
      </c>
      <c r="M115" s="265">
        <f t="shared" si="15"/>
        <v>145.43936696340256</v>
      </c>
      <c r="N115" s="287">
        <f t="shared" si="16"/>
        <v>0</v>
      </c>
      <c r="O115" s="265"/>
      <c r="P115" s="249">
        <f>Données!AA115</f>
        <v>138</v>
      </c>
      <c r="Q115" s="284">
        <f>Données!AB115</f>
        <v>1</v>
      </c>
      <c r="R115" s="236">
        <f t="shared" si="17"/>
        <v>138.15</v>
      </c>
      <c r="S115" s="288">
        <f t="shared" si="18"/>
        <v>9.315576534052597E-2</v>
      </c>
      <c r="T115" s="273">
        <f t="shared" si="19"/>
        <v>201.97914110429437</v>
      </c>
      <c r="U115" s="273">
        <f t="shared" si="22"/>
        <v>0</v>
      </c>
      <c r="V115" s="287">
        <f t="shared" si="23"/>
        <v>0</v>
      </c>
      <c r="W115" s="340"/>
      <c r="X115" s="236">
        <f t="shared" si="24"/>
        <v>0</v>
      </c>
      <c r="Y115" s="253">
        <f t="shared" si="25"/>
        <v>0</v>
      </c>
    </row>
    <row r="116" spans="1:25" x14ac:dyDescent="0.25">
      <c r="A116" s="111">
        <f>Données!A116</f>
        <v>5589</v>
      </c>
      <c r="B116" s="119" t="str">
        <f>Données!B116</f>
        <v>Prilly</v>
      </c>
      <c r="C116" s="252">
        <f>Données!C116</f>
        <v>13069</v>
      </c>
      <c r="D116" s="265"/>
      <c r="E116" s="249">
        <f>Données!X116</f>
        <v>219</v>
      </c>
      <c r="F116" s="286">
        <f t="shared" si="13"/>
        <v>1.6757211722396512E-2</v>
      </c>
      <c r="G116" s="265">
        <f t="shared" si="14"/>
        <v>9992.2725215517239</v>
      </c>
      <c r="H116" s="273">
        <f t="shared" si="20"/>
        <v>0</v>
      </c>
      <c r="I116" s="287">
        <f t="shared" si="21"/>
        <v>0</v>
      </c>
      <c r="J116" s="265"/>
      <c r="K116" s="274">
        <f>Données!Y116</f>
        <v>0</v>
      </c>
      <c r="L116" s="441">
        <f>Données!Z116</f>
        <v>9.4E-2</v>
      </c>
      <c r="M116" s="265">
        <f t="shared" si="15"/>
        <v>55.126211671612268</v>
      </c>
      <c r="N116" s="287">
        <f t="shared" si="16"/>
        <v>0</v>
      </c>
      <c r="O116" s="265"/>
      <c r="P116" s="249">
        <f>Données!AA116</f>
        <v>1300</v>
      </c>
      <c r="Q116" s="284">
        <f>Données!AB116</f>
        <v>24</v>
      </c>
      <c r="R116" s="236">
        <f t="shared" si="17"/>
        <v>1303.5999999999999</v>
      </c>
      <c r="S116" s="288">
        <f t="shared" si="18"/>
        <v>9.9747494069936479E-2</v>
      </c>
      <c r="T116" s="273">
        <f t="shared" si="19"/>
        <v>1779.9496932515328</v>
      </c>
      <c r="U116" s="273">
        <f t="shared" si="22"/>
        <v>0</v>
      </c>
      <c r="V116" s="287">
        <f t="shared" si="23"/>
        <v>0</v>
      </c>
      <c r="W116" s="340"/>
      <c r="X116" s="236">
        <f t="shared" si="24"/>
        <v>0</v>
      </c>
      <c r="Y116" s="253">
        <f t="shared" si="25"/>
        <v>0</v>
      </c>
    </row>
    <row r="117" spans="1:25" x14ac:dyDescent="0.25">
      <c r="A117" s="111">
        <f>Données!A117</f>
        <v>5590</v>
      </c>
      <c r="B117" s="119" t="str">
        <f>Données!B117</f>
        <v>Pully</v>
      </c>
      <c r="C117" s="252">
        <f>Données!C117</f>
        <v>19550</v>
      </c>
      <c r="D117" s="265"/>
      <c r="E117" s="249">
        <f>Données!X117</f>
        <v>589</v>
      </c>
      <c r="F117" s="286">
        <f t="shared" si="13"/>
        <v>3.0127877237851663E-2</v>
      </c>
      <c r="G117" s="265">
        <f t="shared" si="14"/>
        <v>14947.503848522167</v>
      </c>
      <c r="H117" s="273">
        <f t="shared" si="20"/>
        <v>0</v>
      </c>
      <c r="I117" s="287">
        <f t="shared" si="21"/>
        <v>0</v>
      </c>
      <c r="J117" s="265"/>
      <c r="K117" s="274">
        <f>Données!Y117</f>
        <v>44</v>
      </c>
      <c r="L117" s="441">
        <f>Données!Z117</f>
        <v>0.193</v>
      </c>
      <c r="M117" s="265">
        <f t="shared" si="15"/>
        <v>113.18466864490604</v>
      </c>
      <c r="N117" s="287">
        <f t="shared" si="16"/>
        <v>-4980</v>
      </c>
      <c r="O117" s="265"/>
      <c r="P117" s="249">
        <f>Données!AA117</f>
        <v>1887</v>
      </c>
      <c r="Q117" s="284">
        <f>Données!AB117</f>
        <v>64</v>
      </c>
      <c r="R117" s="236">
        <f t="shared" si="17"/>
        <v>1896.6</v>
      </c>
      <c r="S117" s="288">
        <f t="shared" si="18"/>
        <v>9.701278772378516E-2</v>
      </c>
      <c r="T117" s="273">
        <f t="shared" si="19"/>
        <v>2662.6380368098148</v>
      </c>
      <c r="U117" s="273">
        <f t="shared" si="22"/>
        <v>0</v>
      </c>
      <c r="V117" s="287">
        <f t="shared" si="23"/>
        <v>0</v>
      </c>
      <c r="W117" s="340"/>
      <c r="X117" s="236">
        <f t="shared" si="24"/>
        <v>0</v>
      </c>
      <c r="Y117" s="253">
        <f t="shared" si="25"/>
        <v>0</v>
      </c>
    </row>
    <row r="118" spans="1:25" x14ac:dyDescent="0.25">
      <c r="A118" s="111">
        <f>Données!A118</f>
        <v>5591</v>
      </c>
      <c r="B118" s="119" t="str">
        <f>Données!B118</f>
        <v>Renens</v>
      </c>
      <c r="C118" s="252">
        <f>Données!C118</f>
        <v>21827</v>
      </c>
      <c r="D118" s="265"/>
      <c r="E118" s="249">
        <f>Données!X118</f>
        <v>295</v>
      </c>
      <c r="F118" s="286">
        <f t="shared" si="13"/>
        <v>1.3515370870939661E-2</v>
      </c>
      <c r="G118" s="265">
        <f t="shared" si="14"/>
        <v>16688.448414408867</v>
      </c>
      <c r="H118" s="273">
        <f t="shared" si="20"/>
        <v>0</v>
      </c>
      <c r="I118" s="287">
        <f t="shared" si="21"/>
        <v>0</v>
      </c>
      <c r="J118" s="265"/>
      <c r="K118" s="274">
        <f>Données!Y118</f>
        <v>0</v>
      </c>
      <c r="L118" s="441">
        <f>Données!Z118</f>
        <v>6.2E-2</v>
      </c>
      <c r="M118" s="265">
        <f t="shared" si="15"/>
        <v>36.359841740850641</v>
      </c>
      <c r="N118" s="287">
        <f t="shared" si="16"/>
        <v>0</v>
      </c>
      <c r="O118" s="265"/>
      <c r="P118" s="249">
        <f>Données!AA118</f>
        <v>2319</v>
      </c>
      <c r="Q118" s="284">
        <f>Données!AB118</f>
        <v>20</v>
      </c>
      <c r="R118" s="236">
        <f t="shared" si="17"/>
        <v>2322</v>
      </c>
      <c r="S118" s="288">
        <f t="shared" si="18"/>
        <v>0.10638200394007422</v>
      </c>
      <c r="T118" s="273">
        <f t="shared" si="19"/>
        <v>2972.7570552147226</v>
      </c>
      <c r="U118" s="273">
        <f t="shared" si="22"/>
        <v>0</v>
      </c>
      <c r="V118" s="287">
        <f t="shared" si="23"/>
        <v>0</v>
      </c>
      <c r="W118" s="340"/>
      <c r="X118" s="236">
        <f t="shared" si="24"/>
        <v>0</v>
      </c>
      <c r="Y118" s="253">
        <f t="shared" si="25"/>
        <v>0</v>
      </c>
    </row>
    <row r="119" spans="1:25" x14ac:dyDescent="0.25">
      <c r="A119" s="111">
        <f>Données!A119</f>
        <v>5592</v>
      </c>
      <c r="B119" s="119" t="str">
        <f>Données!B119</f>
        <v>Romanel-sur-Lausanne</v>
      </c>
      <c r="C119" s="252">
        <f>Données!C119</f>
        <v>4331</v>
      </c>
      <c r="D119" s="265"/>
      <c r="E119" s="249">
        <f>Données!X119</f>
        <v>290</v>
      </c>
      <c r="F119" s="286">
        <f t="shared" si="13"/>
        <v>6.6959131840221661E-2</v>
      </c>
      <c r="G119" s="265">
        <f t="shared" si="14"/>
        <v>3311.3881927339903</v>
      </c>
      <c r="H119" s="273">
        <f t="shared" si="20"/>
        <v>0</v>
      </c>
      <c r="I119" s="287">
        <f t="shared" si="21"/>
        <v>0</v>
      </c>
      <c r="J119" s="265"/>
      <c r="K119" s="274">
        <f>Données!Y119</f>
        <v>0</v>
      </c>
      <c r="L119" s="441">
        <f>Données!Z119</f>
        <v>3.4000000000000002E-2</v>
      </c>
      <c r="M119" s="265">
        <f t="shared" si="15"/>
        <v>19.939268051434226</v>
      </c>
      <c r="N119" s="287">
        <f t="shared" si="16"/>
        <v>0</v>
      </c>
      <c r="O119" s="265"/>
      <c r="P119" s="249">
        <f>Données!AA119</f>
        <v>515</v>
      </c>
      <c r="Q119" s="284">
        <f>Données!AB119</f>
        <v>224</v>
      </c>
      <c r="R119" s="236">
        <f t="shared" si="17"/>
        <v>548.6</v>
      </c>
      <c r="S119" s="288">
        <f t="shared" si="18"/>
        <v>0.1266682059570538</v>
      </c>
      <c r="T119" s="273">
        <f t="shared" si="19"/>
        <v>589.86625766871134</v>
      </c>
      <c r="U119" s="273">
        <f t="shared" si="22"/>
        <v>0</v>
      </c>
      <c r="V119" s="287">
        <f t="shared" si="23"/>
        <v>0</v>
      </c>
      <c r="W119" s="340"/>
      <c r="X119" s="236">
        <f t="shared" si="24"/>
        <v>0</v>
      </c>
      <c r="Y119" s="253">
        <f t="shared" si="25"/>
        <v>0</v>
      </c>
    </row>
    <row r="120" spans="1:25" x14ac:dyDescent="0.25">
      <c r="A120" s="111">
        <f>Données!A120</f>
        <v>5601</v>
      </c>
      <c r="B120" s="119" t="str">
        <f>Données!B120</f>
        <v>Chexbres</v>
      </c>
      <c r="C120" s="252">
        <f>Données!C120</f>
        <v>2272</v>
      </c>
      <c r="D120" s="265"/>
      <c r="E120" s="249">
        <f>Données!X120</f>
        <v>218</v>
      </c>
      <c r="F120" s="286">
        <f t="shared" si="13"/>
        <v>9.595070422535211E-2</v>
      </c>
      <c r="G120" s="265">
        <f t="shared" si="14"/>
        <v>1737.1216748768472</v>
      </c>
      <c r="H120" s="273">
        <f t="shared" si="20"/>
        <v>0</v>
      </c>
      <c r="I120" s="287">
        <f t="shared" si="21"/>
        <v>0</v>
      </c>
      <c r="J120" s="265"/>
      <c r="K120" s="274">
        <f>Données!Y120</f>
        <v>0</v>
      </c>
      <c r="L120" s="441">
        <f>Données!Z120</f>
        <v>0.216</v>
      </c>
      <c r="M120" s="265">
        <f t="shared" si="15"/>
        <v>126.67299703264095</v>
      </c>
      <c r="N120" s="287">
        <f t="shared" si="16"/>
        <v>0</v>
      </c>
      <c r="O120" s="265"/>
      <c r="P120" s="249">
        <f>Données!AA120</f>
        <v>215</v>
      </c>
      <c r="Q120" s="284">
        <f>Données!AB120</f>
        <v>8</v>
      </c>
      <c r="R120" s="236">
        <f t="shared" si="17"/>
        <v>216.2</v>
      </c>
      <c r="S120" s="288">
        <f t="shared" si="18"/>
        <v>9.515845070422535E-2</v>
      </c>
      <c r="T120" s="273">
        <f t="shared" si="19"/>
        <v>309.4380368098158</v>
      </c>
      <c r="U120" s="273">
        <f t="shared" si="22"/>
        <v>0</v>
      </c>
      <c r="V120" s="287">
        <f t="shared" si="23"/>
        <v>0</v>
      </c>
      <c r="W120" s="340"/>
      <c r="X120" s="236">
        <f t="shared" si="24"/>
        <v>0</v>
      </c>
      <c r="Y120" s="253">
        <f t="shared" si="25"/>
        <v>0</v>
      </c>
    </row>
    <row r="121" spans="1:25" x14ac:dyDescent="0.25">
      <c r="A121" s="111">
        <f>Données!A121</f>
        <v>5604</v>
      </c>
      <c r="B121" s="119" t="str">
        <f>Données!B121</f>
        <v>Forel (Lavaux)</v>
      </c>
      <c r="C121" s="252">
        <f>Données!C121</f>
        <v>2113</v>
      </c>
      <c r="D121" s="265"/>
      <c r="E121" s="249">
        <f>Données!X121</f>
        <v>1845</v>
      </c>
      <c r="F121" s="286">
        <f t="shared" si="13"/>
        <v>0.87316611452910553</v>
      </c>
      <c r="G121" s="265">
        <f t="shared" si="14"/>
        <v>1615.5537407635468</v>
      </c>
      <c r="H121" s="273">
        <f t="shared" si="20"/>
        <v>229.44625923645322</v>
      </c>
      <c r="I121" s="287">
        <f t="shared" si="21"/>
        <v>-24465</v>
      </c>
      <c r="J121" s="265"/>
      <c r="K121" s="274">
        <f>Données!Y121</f>
        <v>797</v>
      </c>
      <c r="L121" s="441">
        <f>Données!Z121</f>
        <v>6.5000000000000002E-2</v>
      </c>
      <c r="M121" s="265">
        <f t="shared" si="15"/>
        <v>38.119188921859546</v>
      </c>
      <c r="N121" s="287">
        <f t="shared" si="16"/>
        <v>-30381</v>
      </c>
      <c r="O121" s="265"/>
      <c r="P121" s="249">
        <f>Données!AA121</f>
        <v>267</v>
      </c>
      <c r="Q121" s="284">
        <f>Données!AB121</f>
        <v>152</v>
      </c>
      <c r="R121" s="236">
        <f t="shared" si="17"/>
        <v>289.8</v>
      </c>
      <c r="S121" s="288">
        <f t="shared" si="18"/>
        <v>0.1371509701845717</v>
      </c>
      <c r="T121" s="273">
        <f t="shared" si="19"/>
        <v>287.78282208588945</v>
      </c>
      <c r="U121" s="273">
        <f t="shared" si="22"/>
        <v>2.0171779141105617</v>
      </c>
      <c r="V121" s="287">
        <f t="shared" si="23"/>
        <v>-8603</v>
      </c>
      <c r="W121" s="340"/>
      <c r="X121" s="236">
        <f t="shared" si="24"/>
        <v>-8603</v>
      </c>
      <c r="Y121" s="253">
        <f t="shared" si="25"/>
        <v>0</v>
      </c>
    </row>
    <row r="122" spans="1:25" x14ac:dyDescent="0.25">
      <c r="A122" s="111">
        <f>Données!A122</f>
        <v>5606</v>
      </c>
      <c r="B122" s="119" t="str">
        <f>Données!B122</f>
        <v>Lutry</v>
      </c>
      <c r="C122" s="252">
        <f>Données!C122</f>
        <v>10843</v>
      </c>
      <c r="D122" s="265"/>
      <c r="E122" s="249">
        <f>Données!X122</f>
        <v>838</v>
      </c>
      <c r="F122" s="286">
        <f t="shared" si="13"/>
        <v>7.7284884257124417E-2</v>
      </c>
      <c r="G122" s="265">
        <f t="shared" si="14"/>
        <v>8290.3214439655167</v>
      </c>
      <c r="H122" s="273">
        <f t="shared" si="20"/>
        <v>0</v>
      </c>
      <c r="I122" s="287">
        <f t="shared" si="21"/>
        <v>0</v>
      </c>
      <c r="J122" s="265"/>
      <c r="K122" s="274">
        <f>Données!Y122</f>
        <v>76</v>
      </c>
      <c r="L122" s="441">
        <f>Données!Z122</f>
        <v>0.16200000000000001</v>
      </c>
      <c r="M122" s="265">
        <f t="shared" si="15"/>
        <v>95.00474777448072</v>
      </c>
      <c r="N122" s="287">
        <f t="shared" si="16"/>
        <v>-7220</v>
      </c>
      <c r="O122" s="265"/>
      <c r="P122" s="249">
        <f>Données!AA122</f>
        <v>1049</v>
      </c>
      <c r="Q122" s="284">
        <f>Données!AB122</f>
        <v>198</v>
      </c>
      <c r="R122" s="236">
        <f t="shared" si="17"/>
        <v>1078.7</v>
      </c>
      <c r="S122" s="288">
        <f t="shared" si="18"/>
        <v>9.9483537766300839E-2</v>
      </c>
      <c r="T122" s="273">
        <f t="shared" si="19"/>
        <v>1476.7766871165636</v>
      </c>
      <c r="U122" s="273">
        <f t="shared" si="22"/>
        <v>0</v>
      </c>
      <c r="V122" s="287">
        <f t="shared" si="23"/>
        <v>0</v>
      </c>
      <c r="W122" s="340"/>
      <c r="X122" s="236">
        <f t="shared" si="24"/>
        <v>0</v>
      </c>
      <c r="Y122" s="253">
        <f t="shared" si="25"/>
        <v>0</v>
      </c>
    </row>
    <row r="123" spans="1:25" x14ac:dyDescent="0.25">
      <c r="A123" s="111">
        <f>Données!A123</f>
        <v>5607</v>
      </c>
      <c r="B123" s="119" t="str">
        <f>Données!B123</f>
        <v>Puidoux</v>
      </c>
      <c r="C123" s="252">
        <f>Données!C123</f>
        <v>3014</v>
      </c>
      <c r="D123" s="265"/>
      <c r="E123" s="249">
        <f>Données!X123</f>
        <v>2223</v>
      </c>
      <c r="F123" s="286">
        <f t="shared" si="13"/>
        <v>0.73755806237558064</v>
      </c>
      <c r="G123" s="265">
        <f t="shared" si="14"/>
        <v>2304.4387007389164</v>
      </c>
      <c r="H123" s="273">
        <f t="shared" si="20"/>
        <v>0</v>
      </c>
      <c r="I123" s="287">
        <f t="shared" si="21"/>
        <v>0</v>
      </c>
      <c r="J123" s="265"/>
      <c r="K123" s="274">
        <f>Données!Y123</f>
        <v>126</v>
      </c>
      <c r="L123" s="441">
        <f>Données!Z123</f>
        <v>0.17299999999999999</v>
      </c>
      <c r="M123" s="265">
        <f t="shared" si="15"/>
        <v>101.45568743818002</v>
      </c>
      <c r="N123" s="287">
        <f t="shared" si="16"/>
        <v>-12783</v>
      </c>
      <c r="O123" s="265"/>
      <c r="P123" s="249">
        <f>Données!AA123</f>
        <v>332</v>
      </c>
      <c r="Q123" s="284">
        <f>Données!AB123</f>
        <v>100</v>
      </c>
      <c r="R123" s="236">
        <f t="shared" si="17"/>
        <v>347</v>
      </c>
      <c r="S123" s="288">
        <f t="shared" si="18"/>
        <v>0.11512939615129396</v>
      </c>
      <c r="T123" s="273">
        <f t="shared" si="19"/>
        <v>410.49570552147219</v>
      </c>
      <c r="U123" s="273">
        <f t="shared" si="22"/>
        <v>0</v>
      </c>
      <c r="V123" s="287">
        <f t="shared" si="23"/>
        <v>0</v>
      </c>
      <c r="W123" s="340"/>
      <c r="X123" s="236">
        <f t="shared" si="24"/>
        <v>0</v>
      </c>
      <c r="Y123" s="253">
        <f t="shared" si="25"/>
        <v>0</v>
      </c>
    </row>
    <row r="124" spans="1:25" x14ac:dyDescent="0.25">
      <c r="A124" s="111">
        <f>Données!A124</f>
        <v>5609</v>
      </c>
      <c r="B124" s="119" t="str">
        <f>Données!B124</f>
        <v>Rivaz</v>
      </c>
      <c r="C124" s="252">
        <f>Données!C124</f>
        <v>330</v>
      </c>
      <c r="D124" s="265"/>
      <c r="E124" s="249">
        <f>Données!X124</f>
        <v>29</v>
      </c>
      <c r="F124" s="286">
        <f t="shared" si="13"/>
        <v>8.7878787878787876E-2</v>
      </c>
      <c r="G124" s="265">
        <f t="shared" si="14"/>
        <v>252.31080665024629</v>
      </c>
      <c r="H124" s="273">
        <f t="shared" si="20"/>
        <v>0</v>
      </c>
      <c r="I124" s="287">
        <f t="shared" si="21"/>
        <v>0</v>
      </c>
      <c r="J124" s="265"/>
      <c r="K124" s="274">
        <f>Données!Y124</f>
        <v>0</v>
      </c>
      <c r="L124" s="441">
        <f>Données!Z124</f>
        <v>0.309</v>
      </c>
      <c r="M124" s="265">
        <f t="shared" si="15"/>
        <v>181.21275964391691</v>
      </c>
      <c r="N124" s="287">
        <f t="shared" si="16"/>
        <v>0</v>
      </c>
      <c r="O124" s="265"/>
      <c r="P124" s="249">
        <f>Données!AA124</f>
        <v>24</v>
      </c>
      <c r="Q124" s="284">
        <f>Données!AB124</f>
        <v>9</v>
      </c>
      <c r="R124" s="236">
        <f t="shared" si="17"/>
        <v>25.35</v>
      </c>
      <c r="S124" s="288">
        <f t="shared" si="18"/>
        <v>7.6818181818181827E-2</v>
      </c>
      <c r="T124" s="273">
        <f t="shared" si="19"/>
        <v>44.944785276073596</v>
      </c>
      <c r="U124" s="273">
        <f t="shared" si="22"/>
        <v>0</v>
      </c>
      <c r="V124" s="287">
        <f t="shared" si="23"/>
        <v>0</v>
      </c>
      <c r="W124" s="340"/>
      <c r="X124" s="236">
        <f t="shared" si="24"/>
        <v>0</v>
      </c>
      <c r="Y124" s="253">
        <f t="shared" si="25"/>
        <v>0</v>
      </c>
    </row>
    <row r="125" spans="1:25" x14ac:dyDescent="0.25">
      <c r="A125" s="111">
        <f>Données!A125</f>
        <v>5610</v>
      </c>
      <c r="B125" s="119" t="str">
        <f>Données!B125</f>
        <v>St-Saphorin (Lavaux)</v>
      </c>
      <c r="C125" s="252">
        <f>Données!C125</f>
        <v>393</v>
      </c>
      <c r="D125" s="265"/>
      <c r="E125" s="249">
        <f>Données!X125</f>
        <v>87</v>
      </c>
      <c r="F125" s="286">
        <f t="shared" si="13"/>
        <v>0.22137404580152673</v>
      </c>
      <c r="G125" s="265">
        <f t="shared" si="14"/>
        <v>300.47923337438425</v>
      </c>
      <c r="H125" s="273">
        <f t="shared" si="20"/>
        <v>0</v>
      </c>
      <c r="I125" s="287">
        <f t="shared" si="21"/>
        <v>0</v>
      </c>
      <c r="J125" s="265"/>
      <c r="K125" s="274">
        <f>Données!Y125</f>
        <v>0</v>
      </c>
      <c r="L125" s="441">
        <f>Données!Z125</f>
        <v>0.41799999999999998</v>
      </c>
      <c r="M125" s="265">
        <f t="shared" si="15"/>
        <v>245.13570722057369</v>
      </c>
      <c r="N125" s="287">
        <f t="shared" si="16"/>
        <v>0</v>
      </c>
      <c r="O125" s="265"/>
      <c r="P125" s="249">
        <f>Données!AA125</f>
        <v>30</v>
      </c>
      <c r="Q125" s="284">
        <f>Données!AB125</f>
        <v>19</v>
      </c>
      <c r="R125" s="236">
        <f t="shared" si="17"/>
        <v>32.85</v>
      </c>
      <c r="S125" s="288">
        <f t="shared" si="18"/>
        <v>8.3587786259541982E-2</v>
      </c>
      <c r="T125" s="273">
        <f t="shared" si="19"/>
        <v>53.525153374233106</v>
      </c>
      <c r="U125" s="273">
        <f t="shared" si="22"/>
        <v>0</v>
      </c>
      <c r="V125" s="287">
        <f t="shared" si="23"/>
        <v>0</v>
      </c>
      <c r="W125" s="340"/>
      <c r="X125" s="236">
        <f t="shared" si="24"/>
        <v>0</v>
      </c>
      <c r="Y125" s="253">
        <f t="shared" si="25"/>
        <v>0</v>
      </c>
    </row>
    <row r="126" spans="1:25" x14ac:dyDescent="0.25">
      <c r="A126" s="111">
        <f>Données!A126</f>
        <v>5611</v>
      </c>
      <c r="B126" s="119" t="str">
        <f>Données!B126</f>
        <v>Savigny</v>
      </c>
      <c r="C126" s="252">
        <f>Données!C126</f>
        <v>3598</v>
      </c>
      <c r="D126" s="265"/>
      <c r="E126" s="249">
        <f>Données!X126</f>
        <v>1607</v>
      </c>
      <c r="F126" s="286">
        <f t="shared" si="13"/>
        <v>0.44663702056698168</v>
      </c>
      <c r="G126" s="265">
        <f t="shared" si="14"/>
        <v>2750.9523706896553</v>
      </c>
      <c r="H126" s="273">
        <f t="shared" si="20"/>
        <v>0</v>
      </c>
      <c r="I126" s="287">
        <f t="shared" si="21"/>
        <v>0</v>
      </c>
      <c r="J126" s="265"/>
      <c r="K126" s="274">
        <f>Données!Y126</f>
        <v>3593</v>
      </c>
      <c r="L126" s="441">
        <f>Données!Z126</f>
        <v>6.0999999999999999E-2</v>
      </c>
      <c r="M126" s="265">
        <f t="shared" si="15"/>
        <v>35.773392680514341</v>
      </c>
      <c r="N126" s="287">
        <f t="shared" si="16"/>
        <v>-128534</v>
      </c>
      <c r="O126" s="265"/>
      <c r="P126" s="249">
        <f>Données!AA126</f>
        <v>445</v>
      </c>
      <c r="Q126" s="284">
        <f>Données!AB126</f>
        <v>292</v>
      </c>
      <c r="R126" s="236">
        <f t="shared" si="17"/>
        <v>488.8</v>
      </c>
      <c r="S126" s="288">
        <f t="shared" si="18"/>
        <v>0.13585325180655922</v>
      </c>
      <c r="T126" s="273">
        <f t="shared" si="19"/>
        <v>490.03435582822061</v>
      </c>
      <c r="U126" s="273">
        <f t="shared" si="22"/>
        <v>0</v>
      </c>
      <c r="V126" s="287">
        <f t="shared" si="23"/>
        <v>0</v>
      </c>
      <c r="W126" s="340"/>
      <c r="X126" s="236">
        <f t="shared" si="24"/>
        <v>0</v>
      </c>
      <c r="Y126" s="253">
        <f t="shared" si="25"/>
        <v>0</v>
      </c>
    </row>
    <row r="127" spans="1:25" x14ac:dyDescent="0.25">
      <c r="A127" s="111">
        <f>Données!A127</f>
        <v>5613</v>
      </c>
      <c r="B127" s="119" t="str">
        <f>Données!B127</f>
        <v>Bourg-en-Lavaux</v>
      </c>
      <c r="C127" s="252">
        <f>Données!C127</f>
        <v>5558</v>
      </c>
      <c r="D127" s="265"/>
      <c r="E127" s="249">
        <f>Données!X127</f>
        <v>961</v>
      </c>
      <c r="F127" s="286">
        <f t="shared" si="13"/>
        <v>0.17290392227419935</v>
      </c>
      <c r="G127" s="265">
        <f t="shared" si="14"/>
        <v>4249.5256465517241</v>
      </c>
      <c r="H127" s="273">
        <f t="shared" si="20"/>
        <v>0</v>
      </c>
      <c r="I127" s="287">
        <f t="shared" si="21"/>
        <v>0</v>
      </c>
      <c r="J127" s="265"/>
      <c r="K127" s="274">
        <f>Données!Y127</f>
        <v>183</v>
      </c>
      <c r="L127" s="441">
        <f>Données!Z127</f>
        <v>0.27900000000000003</v>
      </c>
      <c r="M127" s="265">
        <f t="shared" si="15"/>
        <v>163.61928783382791</v>
      </c>
      <c r="N127" s="287">
        <f t="shared" si="16"/>
        <v>-29942</v>
      </c>
      <c r="O127" s="265"/>
      <c r="P127" s="249">
        <f>Données!AA127</f>
        <v>516</v>
      </c>
      <c r="Q127" s="284">
        <f>Données!AB127</f>
        <v>266</v>
      </c>
      <c r="R127" s="236">
        <f t="shared" si="17"/>
        <v>555.9</v>
      </c>
      <c r="S127" s="288">
        <f t="shared" si="18"/>
        <v>0.10001799208348326</v>
      </c>
      <c r="T127" s="273">
        <f t="shared" si="19"/>
        <v>756.97914110429417</v>
      </c>
      <c r="U127" s="273">
        <f t="shared" si="22"/>
        <v>0</v>
      </c>
      <c r="V127" s="287">
        <f t="shared" si="23"/>
        <v>0</v>
      </c>
      <c r="W127" s="340"/>
      <c r="X127" s="236">
        <f t="shared" si="24"/>
        <v>0</v>
      </c>
      <c r="Y127" s="253">
        <f t="shared" si="25"/>
        <v>0</v>
      </c>
    </row>
    <row r="128" spans="1:25" x14ac:dyDescent="0.25">
      <c r="A128" s="111">
        <f>Données!A128</f>
        <v>5621</v>
      </c>
      <c r="B128" s="119" t="str">
        <f>Données!B128</f>
        <v>Aclens</v>
      </c>
      <c r="C128" s="252">
        <f>Données!C128</f>
        <v>609</v>
      </c>
      <c r="D128" s="265"/>
      <c r="E128" s="249">
        <f>Données!X128</f>
        <v>389</v>
      </c>
      <c r="F128" s="286">
        <f t="shared" si="13"/>
        <v>0.63875205254515599</v>
      </c>
      <c r="G128" s="265">
        <f t="shared" si="14"/>
        <v>465.62812500000001</v>
      </c>
      <c r="H128" s="273">
        <f t="shared" si="20"/>
        <v>0</v>
      </c>
      <c r="I128" s="287">
        <f t="shared" si="21"/>
        <v>0</v>
      </c>
      <c r="J128" s="265"/>
      <c r="K128" s="274">
        <f>Données!Y128</f>
        <v>0</v>
      </c>
      <c r="L128" s="441">
        <f>Données!Z128</f>
        <v>4.5999999999999999E-2</v>
      </c>
      <c r="M128" s="265">
        <f t="shared" si="15"/>
        <v>26.976656775469831</v>
      </c>
      <c r="N128" s="287">
        <f t="shared" si="16"/>
        <v>0</v>
      </c>
      <c r="O128" s="265"/>
      <c r="P128" s="249">
        <f>Données!AA128</f>
        <v>71</v>
      </c>
      <c r="Q128" s="284">
        <f>Données!AB128</f>
        <v>48</v>
      </c>
      <c r="R128" s="236">
        <f t="shared" si="17"/>
        <v>78.2</v>
      </c>
      <c r="S128" s="288">
        <f t="shared" si="18"/>
        <v>0.1284072249589491</v>
      </c>
      <c r="T128" s="273">
        <f t="shared" si="19"/>
        <v>82.943558282208556</v>
      </c>
      <c r="U128" s="273">
        <f t="shared" si="22"/>
        <v>0</v>
      </c>
      <c r="V128" s="287">
        <f t="shared" si="23"/>
        <v>0</v>
      </c>
      <c r="W128" s="340"/>
      <c r="X128" s="236">
        <f t="shared" si="24"/>
        <v>0</v>
      </c>
      <c r="Y128" s="253">
        <f t="shared" si="25"/>
        <v>0</v>
      </c>
    </row>
    <row r="129" spans="1:25" x14ac:dyDescent="0.25">
      <c r="A129" s="111">
        <f>Données!A129</f>
        <v>5622</v>
      </c>
      <c r="B129" s="119" t="str">
        <f>Données!B129</f>
        <v>Bremblens</v>
      </c>
      <c r="C129" s="252">
        <f>Données!C129</f>
        <v>596</v>
      </c>
      <c r="D129" s="265"/>
      <c r="E129" s="249">
        <f>Données!X129</f>
        <v>292</v>
      </c>
      <c r="F129" s="286">
        <f t="shared" si="13"/>
        <v>0.48993288590604028</v>
      </c>
      <c r="G129" s="265">
        <f t="shared" si="14"/>
        <v>455.68860837438422</v>
      </c>
      <c r="H129" s="273">
        <f t="shared" si="20"/>
        <v>0</v>
      </c>
      <c r="I129" s="287">
        <f t="shared" si="21"/>
        <v>0</v>
      </c>
      <c r="J129" s="265"/>
      <c r="K129" s="274">
        <f>Données!Y129</f>
        <v>0</v>
      </c>
      <c r="L129" s="441">
        <f>Données!Z129</f>
        <v>2.9000000000000001E-2</v>
      </c>
      <c r="M129" s="265">
        <f t="shared" si="15"/>
        <v>17.007022749752721</v>
      </c>
      <c r="N129" s="287">
        <f t="shared" si="16"/>
        <v>0</v>
      </c>
      <c r="O129" s="265"/>
      <c r="P129" s="249">
        <f>Données!AA129</f>
        <v>70</v>
      </c>
      <c r="Q129" s="284">
        <f>Données!AB129</f>
        <v>49</v>
      </c>
      <c r="R129" s="236">
        <f t="shared" si="17"/>
        <v>77.349999999999994</v>
      </c>
      <c r="S129" s="288">
        <f t="shared" si="18"/>
        <v>0.12978187919463086</v>
      </c>
      <c r="T129" s="273">
        <f t="shared" si="19"/>
        <v>81.173006134969285</v>
      </c>
      <c r="U129" s="273">
        <f t="shared" si="22"/>
        <v>0</v>
      </c>
      <c r="V129" s="287">
        <f t="shared" si="23"/>
        <v>0</v>
      </c>
      <c r="W129" s="340"/>
      <c r="X129" s="236">
        <f t="shared" si="24"/>
        <v>0</v>
      </c>
      <c r="Y129" s="253">
        <f t="shared" si="25"/>
        <v>0</v>
      </c>
    </row>
    <row r="130" spans="1:25" x14ac:dyDescent="0.25">
      <c r="A130" s="111">
        <f>Données!A130</f>
        <v>5623</v>
      </c>
      <c r="B130" s="119" t="str">
        <f>Données!B130</f>
        <v>Buchillon</v>
      </c>
      <c r="C130" s="252">
        <f>Données!C130</f>
        <v>682</v>
      </c>
      <c r="D130" s="265"/>
      <c r="E130" s="249">
        <f>Données!X130</f>
        <v>211</v>
      </c>
      <c r="F130" s="286">
        <f t="shared" si="13"/>
        <v>0.3093841642228739</v>
      </c>
      <c r="G130" s="265">
        <f t="shared" si="14"/>
        <v>521.44233374384237</v>
      </c>
      <c r="H130" s="273">
        <f t="shared" si="20"/>
        <v>0</v>
      </c>
      <c r="I130" s="287">
        <f t="shared" si="21"/>
        <v>0</v>
      </c>
      <c r="J130" s="265"/>
      <c r="K130" s="274">
        <f>Données!Y130</f>
        <v>0</v>
      </c>
      <c r="L130" s="441">
        <f>Données!Z130</f>
        <v>3.9E-2</v>
      </c>
      <c r="M130" s="265">
        <f t="shared" si="15"/>
        <v>22.871513353115727</v>
      </c>
      <c r="N130" s="287">
        <f t="shared" si="16"/>
        <v>0</v>
      </c>
      <c r="O130" s="265"/>
      <c r="P130" s="249">
        <f>Données!AA130</f>
        <v>53</v>
      </c>
      <c r="Q130" s="284">
        <f>Données!AB130</f>
        <v>24</v>
      </c>
      <c r="R130" s="236">
        <f t="shared" si="17"/>
        <v>56.6</v>
      </c>
      <c r="S130" s="288">
        <f t="shared" si="18"/>
        <v>8.2991202346041057E-2</v>
      </c>
      <c r="T130" s="273">
        <f t="shared" si="19"/>
        <v>92.885889570552109</v>
      </c>
      <c r="U130" s="273">
        <f t="shared" si="22"/>
        <v>0</v>
      </c>
      <c r="V130" s="287">
        <f t="shared" si="23"/>
        <v>0</v>
      </c>
      <c r="W130" s="340"/>
      <c r="X130" s="236">
        <f t="shared" si="24"/>
        <v>0</v>
      </c>
      <c r="Y130" s="253">
        <f t="shared" si="25"/>
        <v>0</v>
      </c>
    </row>
    <row r="131" spans="1:25" x14ac:dyDescent="0.25">
      <c r="A131" s="111">
        <f>Données!A131</f>
        <v>5624</v>
      </c>
      <c r="B131" s="119" t="str">
        <f>Données!B131</f>
        <v>Bussigny</v>
      </c>
      <c r="C131" s="252">
        <f>Données!C131</f>
        <v>12138</v>
      </c>
      <c r="D131" s="265"/>
      <c r="E131" s="249">
        <f>Données!X131</f>
        <v>474</v>
      </c>
      <c r="F131" s="286">
        <f t="shared" si="13"/>
        <v>3.9050914483440433E-2</v>
      </c>
      <c r="G131" s="265">
        <f t="shared" si="14"/>
        <v>9280.4502155172413</v>
      </c>
      <c r="H131" s="273">
        <f t="shared" si="20"/>
        <v>0</v>
      </c>
      <c r="I131" s="287">
        <f t="shared" si="21"/>
        <v>0</v>
      </c>
      <c r="J131" s="265"/>
      <c r="K131" s="274">
        <f>Données!Y131</f>
        <v>0</v>
      </c>
      <c r="L131" s="441">
        <f>Données!Z131</f>
        <v>5.8000000000000003E-2</v>
      </c>
      <c r="M131" s="265">
        <f t="shared" si="15"/>
        <v>34.014045499505443</v>
      </c>
      <c r="N131" s="287">
        <f t="shared" si="16"/>
        <v>0</v>
      </c>
      <c r="O131" s="265"/>
      <c r="P131" s="249">
        <f>Données!AA131</f>
        <v>1512</v>
      </c>
      <c r="Q131" s="284">
        <f>Données!AB131</f>
        <v>45</v>
      </c>
      <c r="R131" s="236">
        <f t="shared" si="17"/>
        <v>1518.75</v>
      </c>
      <c r="S131" s="288">
        <f t="shared" si="18"/>
        <v>0.12512357884330202</v>
      </c>
      <c r="T131" s="273">
        <f t="shared" si="19"/>
        <v>1653.1509202453981</v>
      </c>
      <c r="U131" s="273">
        <f t="shared" si="22"/>
        <v>0</v>
      </c>
      <c r="V131" s="287">
        <f t="shared" si="23"/>
        <v>0</v>
      </c>
      <c r="W131" s="340"/>
      <c r="X131" s="236">
        <f t="shared" si="24"/>
        <v>0</v>
      </c>
      <c r="Y131" s="253">
        <f t="shared" si="25"/>
        <v>0</v>
      </c>
    </row>
    <row r="132" spans="1:25" x14ac:dyDescent="0.25">
      <c r="A132" s="111">
        <f>Données!A132</f>
        <v>5627</v>
      </c>
      <c r="B132" s="119" t="str">
        <f>Données!B132</f>
        <v>Chavannes-près-Renens</v>
      </c>
      <c r="C132" s="252">
        <f>Données!C132</f>
        <v>10735</v>
      </c>
      <c r="D132" s="265"/>
      <c r="E132" s="249">
        <f>Données!X132</f>
        <v>165</v>
      </c>
      <c r="F132" s="286">
        <f t="shared" si="13"/>
        <v>1.5370284117373078E-2</v>
      </c>
      <c r="G132" s="265">
        <f t="shared" si="14"/>
        <v>8207.7469981527101</v>
      </c>
      <c r="H132" s="273">
        <f t="shared" si="20"/>
        <v>0</v>
      </c>
      <c r="I132" s="287">
        <f t="shared" si="21"/>
        <v>0</v>
      </c>
      <c r="J132" s="265"/>
      <c r="K132" s="274">
        <f>Données!Y132</f>
        <v>0</v>
      </c>
      <c r="L132" s="441">
        <f>Données!Z132</f>
        <v>7.3999999999999996E-2</v>
      </c>
      <c r="M132" s="265">
        <f t="shared" si="15"/>
        <v>43.397230464886249</v>
      </c>
      <c r="N132" s="287">
        <f t="shared" si="16"/>
        <v>0</v>
      </c>
      <c r="O132" s="265"/>
      <c r="P132" s="249">
        <f>Données!AA132</f>
        <v>1066</v>
      </c>
      <c r="Q132" s="284">
        <f>Données!AB132</f>
        <v>12</v>
      </c>
      <c r="R132" s="236">
        <f t="shared" si="17"/>
        <v>1067.8</v>
      </c>
      <c r="S132" s="288">
        <f t="shared" si="18"/>
        <v>9.9469026548672568E-2</v>
      </c>
      <c r="T132" s="273">
        <f t="shared" si="19"/>
        <v>1462.0674846625759</v>
      </c>
      <c r="U132" s="273">
        <f t="shared" si="22"/>
        <v>0</v>
      </c>
      <c r="V132" s="287">
        <f t="shared" si="23"/>
        <v>0</v>
      </c>
      <c r="W132" s="340"/>
      <c r="X132" s="236">
        <f t="shared" si="24"/>
        <v>0</v>
      </c>
      <c r="Y132" s="253">
        <f t="shared" si="25"/>
        <v>0</v>
      </c>
    </row>
    <row r="133" spans="1:25" x14ac:dyDescent="0.25">
      <c r="A133" s="111">
        <f>Données!A133</f>
        <v>5628</v>
      </c>
      <c r="B133" s="119" t="str">
        <f>Données!B133</f>
        <v>Chigny</v>
      </c>
      <c r="C133" s="252">
        <f>Données!C133</f>
        <v>410</v>
      </c>
      <c r="D133" s="265"/>
      <c r="E133" s="249">
        <f>Données!X133</f>
        <v>86</v>
      </c>
      <c r="F133" s="286">
        <f t="shared" si="13"/>
        <v>0.2097560975609756</v>
      </c>
      <c r="G133" s="265">
        <f t="shared" si="14"/>
        <v>313.47706280788179</v>
      </c>
      <c r="H133" s="273">
        <f t="shared" si="20"/>
        <v>0</v>
      </c>
      <c r="I133" s="287">
        <f t="shared" si="21"/>
        <v>0</v>
      </c>
      <c r="J133" s="265"/>
      <c r="K133" s="274">
        <f>Données!Y133</f>
        <v>0</v>
      </c>
      <c r="L133" s="441">
        <f>Données!Z133</f>
        <v>5.5E-2</v>
      </c>
      <c r="M133" s="265">
        <f t="shared" si="15"/>
        <v>32.254698318496537</v>
      </c>
      <c r="N133" s="287">
        <f t="shared" si="16"/>
        <v>0</v>
      </c>
      <c r="O133" s="265"/>
      <c r="P133" s="249">
        <f>Données!AA133</f>
        <v>56</v>
      </c>
      <c r="Q133" s="284">
        <f>Données!AB133</f>
        <v>4</v>
      </c>
      <c r="R133" s="236">
        <f t="shared" si="17"/>
        <v>56.6</v>
      </c>
      <c r="S133" s="288">
        <f t="shared" si="18"/>
        <v>0.13804878048780489</v>
      </c>
      <c r="T133" s="273">
        <f t="shared" si="19"/>
        <v>55.840490797545989</v>
      </c>
      <c r="U133" s="273">
        <f t="shared" si="22"/>
        <v>0.75950920245401221</v>
      </c>
      <c r="V133" s="287">
        <f t="shared" si="23"/>
        <v>-3239</v>
      </c>
      <c r="W133" s="340"/>
      <c r="X133" s="236">
        <f t="shared" si="24"/>
        <v>-2559.0504451038573</v>
      </c>
      <c r="Y133" s="253">
        <f t="shared" si="25"/>
        <v>-679.94955489614267</v>
      </c>
    </row>
    <row r="134" spans="1:25" x14ac:dyDescent="0.25">
      <c r="A134" s="111">
        <f>Données!A134</f>
        <v>5629</v>
      </c>
      <c r="B134" s="119" t="str">
        <f>Données!B134</f>
        <v>Clarmont</v>
      </c>
      <c r="C134" s="252">
        <f>Données!C134</f>
        <v>232</v>
      </c>
      <c r="D134" s="265"/>
      <c r="E134" s="249">
        <f>Données!X134</f>
        <v>101</v>
      </c>
      <c r="F134" s="286">
        <f t="shared" si="13"/>
        <v>0.43534482758620691</v>
      </c>
      <c r="G134" s="265">
        <f t="shared" si="14"/>
        <v>177.38214285714287</v>
      </c>
      <c r="H134" s="273">
        <f t="shared" si="20"/>
        <v>0</v>
      </c>
      <c r="I134" s="287">
        <f t="shared" si="21"/>
        <v>0</v>
      </c>
      <c r="J134" s="265"/>
      <c r="K134" s="274">
        <f>Données!Y134</f>
        <v>0</v>
      </c>
      <c r="L134" s="441">
        <f>Données!Z134</f>
        <v>4.3999999999999997E-2</v>
      </c>
      <c r="M134" s="265">
        <f t="shared" si="15"/>
        <v>25.803758654797228</v>
      </c>
      <c r="N134" s="287">
        <f t="shared" si="16"/>
        <v>0</v>
      </c>
      <c r="O134" s="265"/>
      <c r="P134" s="249">
        <f>Données!AA134</f>
        <v>24</v>
      </c>
      <c r="Q134" s="284">
        <f>Données!AB134</f>
        <v>1</v>
      </c>
      <c r="R134" s="236">
        <f t="shared" si="17"/>
        <v>24.15</v>
      </c>
      <c r="S134" s="288">
        <f t="shared" si="18"/>
        <v>0.10409482758620689</v>
      </c>
      <c r="T134" s="273">
        <f t="shared" si="19"/>
        <v>31.597546012269923</v>
      </c>
      <c r="U134" s="273">
        <f t="shared" si="22"/>
        <v>0</v>
      </c>
      <c r="V134" s="287">
        <f t="shared" si="23"/>
        <v>0</v>
      </c>
      <c r="W134" s="340"/>
      <c r="X134" s="236">
        <f t="shared" si="24"/>
        <v>0</v>
      </c>
      <c r="Y134" s="253">
        <f t="shared" si="25"/>
        <v>0</v>
      </c>
    </row>
    <row r="135" spans="1:25" x14ac:dyDescent="0.25">
      <c r="A135" s="111">
        <f>Données!A135</f>
        <v>5631</v>
      </c>
      <c r="B135" s="119" t="str">
        <f>Données!B135</f>
        <v>Denens</v>
      </c>
      <c r="C135" s="252">
        <f>Données!C135</f>
        <v>748</v>
      </c>
      <c r="D135" s="265"/>
      <c r="E135" s="249">
        <f>Données!X135</f>
        <v>329</v>
      </c>
      <c r="F135" s="286">
        <f t="shared" si="13"/>
        <v>0.43983957219251335</v>
      </c>
      <c r="G135" s="265">
        <f t="shared" si="14"/>
        <v>571.90449507389167</v>
      </c>
      <c r="H135" s="273">
        <f t="shared" si="20"/>
        <v>0</v>
      </c>
      <c r="I135" s="287">
        <f t="shared" si="21"/>
        <v>0</v>
      </c>
      <c r="J135" s="265"/>
      <c r="K135" s="274">
        <f>Données!Y135</f>
        <v>0</v>
      </c>
      <c r="L135" s="441">
        <f>Données!Z135</f>
        <v>4.0000000000000001E-3</v>
      </c>
      <c r="M135" s="265">
        <f t="shared" si="15"/>
        <v>2.3457962413452029</v>
      </c>
      <c r="N135" s="287">
        <f t="shared" si="16"/>
        <v>0</v>
      </c>
      <c r="O135" s="265"/>
      <c r="P135" s="249">
        <f>Données!AA135</f>
        <v>75</v>
      </c>
      <c r="Q135" s="284">
        <f>Données!AB135</f>
        <v>57</v>
      </c>
      <c r="R135" s="236">
        <f t="shared" si="17"/>
        <v>83.55</v>
      </c>
      <c r="S135" s="288">
        <f t="shared" si="18"/>
        <v>0.11169786096256684</v>
      </c>
      <c r="T135" s="273">
        <f t="shared" si="19"/>
        <v>101.87484662576682</v>
      </c>
      <c r="U135" s="273">
        <f t="shared" si="22"/>
        <v>0</v>
      </c>
      <c r="V135" s="287">
        <f t="shared" si="23"/>
        <v>0</v>
      </c>
      <c r="W135" s="340"/>
      <c r="X135" s="236">
        <f t="shared" si="24"/>
        <v>0</v>
      </c>
      <c r="Y135" s="253">
        <f t="shared" si="25"/>
        <v>0</v>
      </c>
    </row>
    <row r="136" spans="1:25" x14ac:dyDescent="0.25">
      <c r="A136" s="111">
        <f>Données!A136</f>
        <v>5632</v>
      </c>
      <c r="B136" s="119" t="str">
        <f>Données!B136</f>
        <v>Denges</v>
      </c>
      <c r="C136" s="252">
        <f>Données!C136</f>
        <v>1844</v>
      </c>
      <c r="D136" s="265"/>
      <c r="E136" s="249">
        <f>Données!X136</f>
        <v>166</v>
      </c>
      <c r="F136" s="286">
        <f t="shared" ref="F136:F199" si="26">E136/C136</f>
        <v>9.0021691973969628E-2</v>
      </c>
      <c r="G136" s="265">
        <f t="shared" ref="G136:G199" si="27">C136*$I$4</f>
        <v>1409.8822044334975</v>
      </c>
      <c r="H136" s="273">
        <f t="shared" si="20"/>
        <v>0</v>
      </c>
      <c r="I136" s="287">
        <f t="shared" si="21"/>
        <v>0</v>
      </c>
      <c r="J136" s="265"/>
      <c r="K136" s="274">
        <f>Données!Y136</f>
        <v>0</v>
      </c>
      <c r="L136" s="441">
        <f>Données!Z136</f>
        <v>4.1000000000000002E-2</v>
      </c>
      <c r="M136" s="265">
        <f t="shared" ref="M136:M199" si="28">L136*$N$5</f>
        <v>24.04441147378833</v>
      </c>
      <c r="N136" s="287">
        <f t="shared" ref="N136:N199" si="29">ROUND(-M136*K136,0)</f>
        <v>0</v>
      </c>
      <c r="O136" s="265"/>
      <c r="P136" s="249">
        <f>Données!AA136</f>
        <v>177</v>
      </c>
      <c r="Q136" s="284">
        <f>Données!AB136</f>
        <v>6</v>
      </c>
      <c r="R136" s="236">
        <f t="shared" ref="R136:R199" si="30">P136*$P$6+Q136*$Q$6</f>
        <v>177.9</v>
      </c>
      <c r="S136" s="288">
        <f t="shared" ref="S136:S199" si="31">R136/C136</f>
        <v>9.6475054229934923E-2</v>
      </c>
      <c r="T136" s="273">
        <f t="shared" ref="T136:T199" si="32">$V$4*C136</f>
        <v>251.14601226993852</v>
      </c>
      <c r="U136" s="273">
        <f t="shared" si="22"/>
        <v>0</v>
      </c>
      <c r="V136" s="287">
        <f t="shared" si="23"/>
        <v>0</v>
      </c>
      <c r="W136" s="340"/>
      <c r="X136" s="236">
        <f t="shared" si="24"/>
        <v>0</v>
      </c>
      <c r="Y136" s="253">
        <f t="shared" si="25"/>
        <v>0</v>
      </c>
    </row>
    <row r="137" spans="1:25" x14ac:dyDescent="0.25">
      <c r="A137" s="111">
        <f>Données!A137</f>
        <v>5633</v>
      </c>
      <c r="B137" s="119" t="str">
        <f>Données!B137</f>
        <v>Echandens</v>
      </c>
      <c r="C137" s="252">
        <f>Données!C137</f>
        <v>3116</v>
      </c>
      <c r="D137" s="265"/>
      <c r="E137" s="249">
        <f>Données!X137</f>
        <v>384</v>
      </c>
      <c r="F137" s="286">
        <f t="shared" si="26"/>
        <v>0.12323491655969192</v>
      </c>
      <c r="G137" s="265">
        <f t="shared" si="27"/>
        <v>2382.4256773399015</v>
      </c>
      <c r="H137" s="273">
        <f t="shared" ref="H137:H200" si="33">IF(E137&gt;G137,E137-G137,0)</f>
        <v>0</v>
      </c>
      <c r="I137" s="287">
        <f t="shared" ref="I137:I200" si="34">ROUND(-H137*$I$5,0)</f>
        <v>0</v>
      </c>
      <c r="J137" s="265"/>
      <c r="K137" s="274">
        <f>Données!Y137</f>
        <v>0</v>
      </c>
      <c r="L137" s="441">
        <f>Données!Z137</f>
        <v>4.5999999999999999E-2</v>
      </c>
      <c r="M137" s="265">
        <f t="shared" si="28"/>
        <v>26.976656775469831</v>
      </c>
      <c r="N137" s="287">
        <f t="shared" si="29"/>
        <v>0</v>
      </c>
      <c r="O137" s="265"/>
      <c r="P137" s="249">
        <f>Données!AA137</f>
        <v>232</v>
      </c>
      <c r="Q137" s="284">
        <f>Données!AB137</f>
        <v>81</v>
      </c>
      <c r="R137" s="236">
        <f t="shared" si="30"/>
        <v>244.15</v>
      </c>
      <c r="S137" s="288">
        <f t="shared" si="31"/>
        <v>7.8353658536585366E-2</v>
      </c>
      <c r="T137" s="273">
        <f t="shared" si="32"/>
        <v>424.38773006134949</v>
      </c>
      <c r="U137" s="273">
        <f t="shared" ref="U137:U200" si="35">IF(R137&gt;T137,R137-T137,0)</f>
        <v>0</v>
      </c>
      <c r="V137" s="287">
        <f t="shared" ref="V137:V200" si="36">ROUND(-$V$5*U137,0)</f>
        <v>0</v>
      </c>
      <c r="W137" s="340"/>
      <c r="X137" s="236">
        <f t="shared" ref="X137:X200" si="37">IF(-Q137*$Q$6*$V$5&gt;V137,-Q137*$Q$6*$V$5,V137)</f>
        <v>0</v>
      </c>
      <c r="Y137" s="253">
        <f t="shared" ref="Y137:Y200" si="38">IF(X137&gt;V137,V137-X137,0)</f>
        <v>0</v>
      </c>
    </row>
    <row r="138" spans="1:25" x14ac:dyDescent="0.25">
      <c r="A138" s="111">
        <f>Données!A138</f>
        <v>5634</v>
      </c>
      <c r="B138" s="119" t="str">
        <f>Données!B138</f>
        <v>Echichens</v>
      </c>
      <c r="C138" s="252">
        <f>Données!C138</f>
        <v>3241</v>
      </c>
      <c r="D138" s="265"/>
      <c r="E138" s="249">
        <f>Données!X138</f>
        <v>1325</v>
      </c>
      <c r="F138" s="286">
        <f t="shared" si="26"/>
        <v>0.40882443690219067</v>
      </c>
      <c r="G138" s="265">
        <f t="shared" si="27"/>
        <v>2477.9979525862068</v>
      </c>
      <c r="H138" s="273">
        <f t="shared" si="33"/>
        <v>0</v>
      </c>
      <c r="I138" s="287">
        <f t="shared" si="34"/>
        <v>0</v>
      </c>
      <c r="J138" s="265"/>
      <c r="K138" s="274">
        <f>Données!Y138</f>
        <v>0</v>
      </c>
      <c r="L138" s="441">
        <f>Données!Z138</f>
        <v>2.1999999999999999E-2</v>
      </c>
      <c r="M138" s="265">
        <f t="shared" si="28"/>
        <v>12.901879327398614</v>
      </c>
      <c r="N138" s="287">
        <f t="shared" si="29"/>
        <v>0</v>
      </c>
      <c r="O138" s="265"/>
      <c r="P138" s="249">
        <f>Données!AA138</f>
        <v>421</v>
      </c>
      <c r="Q138" s="284">
        <f>Données!AB138</f>
        <v>167</v>
      </c>
      <c r="R138" s="236">
        <f t="shared" si="30"/>
        <v>446.05</v>
      </c>
      <c r="S138" s="288">
        <f t="shared" si="31"/>
        <v>0.13762727553224313</v>
      </c>
      <c r="T138" s="273">
        <f t="shared" si="32"/>
        <v>441.41226993865007</v>
      </c>
      <c r="U138" s="273">
        <f t="shared" si="35"/>
        <v>4.6377300613499415</v>
      </c>
      <c r="V138" s="287">
        <f t="shared" si="36"/>
        <v>-19780</v>
      </c>
      <c r="W138" s="340"/>
      <c r="X138" s="236">
        <f t="shared" si="37"/>
        <v>-19780</v>
      </c>
      <c r="Y138" s="253">
        <f t="shared" si="38"/>
        <v>0</v>
      </c>
    </row>
    <row r="139" spans="1:25" x14ac:dyDescent="0.25">
      <c r="A139" s="111">
        <f>Données!A139</f>
        <v>5635</v>
      </c>
      <c r="B139" s="119" t="str">
        <f>Données!B139</f>
        <v>Ecublens</v>
      </c>
      <c r="C139" s="252">
        <f>Données!C139</f>
        <v>13758</v>
      </c>
      <c r="D139" s="265"/>
      <c r="E139" s="249">
        <f>Données!X139</f>
        <v>565</v>
      </c>
      <c r="F139" s="286">
        <f t="shared" si="26"/>
        <v>4.1067015554586424E-2</v>
      </c>
      <c r="G139" s="265">
        <f t="shared" si="27"/>
        <v>10519.066902709359</v>
      </c>
      <c r="H139" s="273">
        <f t="shared" si="33"/>
        <v>0</v>
      </c>
      <c r="I139" s="287">
        <f t="shared" si="34"/>
        <v>0</v>
      </c>
      <c r="J139" s="265"/>
      <c r="K139" s="274">
        <f>Données!Y139</f>
        <v>0</v>
      </c>
      <c r="L139" s="441">
        <f>Données!Z139</f>
        <v>5.6000000000000001E-2</v>
      </c>
      <c r="M139" s="265">
        <f t="shared" si="28"/>
        <v>32.841147378832844</v>
      </c>
      <c r="N139" s="287">
        <f t="shared" si="29"/>
        <v>0</v>
      </c>
      <c r="O139" s="265"/>
      <c r="P139" s="249">
        <f>Données!AA139</f>
        <v>1425</v>
      </c>
      <c r="Q139" s="284">
        <f>Données!AB139</f>
        <v>31</v>
      </c>
      <c r="R139" s="236">
        <f t="shared" si="30"/>
        <v>1429.65</v>
      </c>
      <c r="S139" s="288">
        <f t="shared" si="31"/>
        <v>0.10391408634976014</v>
      </c>
      <c r="T139" s="273">
        <f t="shared" si="32"/>
        <v>1873.7889570552138</v>
      </c>
      <c r="U139" s="273">
        <f t="shared" si="35"/>
        <v>0</v>
      </c>
      <c r="V139" s="287">
        <f t="shared" si="36"/>
        <v>0</v>
      </c>
      <c r="W139" s="340"/>
      <c r="X139" s="236">
        <f t="shared" si="37"/>
        <v>0</v>
      </c>
      <c r="Y139" s="253">
        <f t="shared" si="38"/>
        <v>0</v>
      </c>
    </row>
    <row r="140" spans="1:25" x14ac:dyDescent="0.25">
      <c r="A140" s="111">
        <f>Données!A140</f>
        <v>5636</v>
      </c>
      <c r="B140" s="119" t="str">
        <f>Données!B140</f>
        <v>Etoy</v>
      </c>
      <c r="C140" s="252">
        <f>Données!C140</f>
        <v>3013</v>
      </c>
      <c r="D140" s="265"/>
      <c r="E140" s="249">
        <f>Données!X140</f>
        <v>490</v>
      </c>
      <c r="F140" s="286">
        <f t="shared" si="26"/>
        <v>0.16262860935944243</v>
      </c>
      <c r="G140" s="265">
        <f t="shared" si="27"/>
        <v>2303.674122536946</v>
      </c>
      <c r="H140" s="273">
        <f t="shared" si="33"/>
        <v>0</v>
      </c>
      <c r="I140" s="287">
        <f t="shared" si="34"/>
        <v>0</v>
      </c>
      <c r="J140" s="265"/>
      <c r="K140" s="274">
        <f>Données!Y140</f>
        <v>0</v>
      </c>
      <c r="L140" s="441">
        <f>Données!Z140</f>
        <v>2.7E-2</v>
      </c>
      <c r="M140" s="265">
        <f t="shared" si="28"/>
        <v>15.834124629080119</v>
      </c>
      <c r="N140" s="287">
        <f t="shared" si="29"/>
        <v>0</v>
      </c>
      <c r="O140" s="265"/>
      <c r="P140" s="249">
        <f>Données!AA140</f>
        <v>286</v>
      </c>
      <c r="Q140" s="284">
        <f>Données!AB140</f>
        <v>98</v>
      </c>
      <c r="R140" s="236">
        <f t="shared" si="30"/>
        <v>300.7</v>
      </c>
      <c r="S140" s="288">
        <f t="shared" si="31"/>
        <v>9.9800862927314965E-2</v>
      </c>
      <c r="T140" s="273">
        <f t="shared" si="32"/>
        <v>410.35950920245381</v>
      </c>
      <c r="U140" s="273">
        <f t="shared" si="35"/>
        <v>0</v>
      </c>
      <c r="V140" s="287">
        <f t="shared" si="36"/>
        <v>0</v>
      </c>
      <c r="W140" s="340"/>
      <c r="X140" s="236">
        <f t="shared" si="37"/>
        <v>0</v>
      </c>
      <c r="Y140" s="253">
        <f t="shared" si="38"/>
        <v>0</v>
      </c>
    </row>
    <row r="141" spans="1:25" x14ac:dyDescent="0.25">
      <c r="A141" s="111">
        <f>Données!A141</f>
        <v>5637</v>
      </c>
      <c r="B141" s="119" t="str">
        <f>Données!B141</f>
        <v>Lavigny</v>
      </c>
      <c r="C141" s="252">
        <f>Données!C141</f>
        <v>1108</v>
      </c>
      <c r="D141" s="265"/>
      <c r="E141" s="249">
        <f>Données!X141</f>
        <v>395</v>
      </c>
      <c r="F141" s="286">
        <f t="shared" si="26"/>
        <v>0.35649819494584839</v>
      </c>
      <c r="G141" s="265">
        <f t="shared" si="27"/>
        <v>847.15264778325127</v>
      </c>
      <c r="H141" s="273">
        <f t="shared" si="33"/>
        <v>0</v>
      </c>
      <c r="I141" s="287">
        <f t="shared" si="34"/>
        <v>0</v>
      </c>
      <c r="J141" s="265"/>
      <c r="K141" s="274">
        <f>Données!Y141</f>
        <v>0</v>
      </c>
      <c r="L141" s="441">
        <f>Données!Z141</f>
        <v>4.7E-2</v>
      </c>
      <c r="M141" s="265">
        <f t="shared" si="28"/>
        <v>27.563105835806134</v>
      </c>
      <c r="N141" s="287">
        <f t="shared" si="29"/>
        <v>0</v>
      </c>
      <c r="O141" s="265"/>
      <c r="P141" s="249">
        <f>Données!AA141</f>
        <v>136</v>
      </c>
      <c r="Q141" s="284">
        <f>Données!AB141</f>
        <v>47</v>
      </c>
      <c r="R141" s="236">
        <f t="shared" si="30"/>
        <v>143.05000000000001</v>
      </c>
      <c r="S141" s="288">
        <f t="shared" si="31"/>
        <v>0.12910649819494585</v>
      </c>
      <c r="T141" s="273">
        <f t="shared" si="32"/>
        <v>150.90552147239256</v>
      </c>
      <c r="U141" s="273">
        <f t="shared" si="35"/>
        <v>0</v>
      </c>
      <c r="V141" s="287">
        <f t="shared" si="36"/>
        <v>0</v>
      </c>
      <c r="W141" s="340"/>
      <c r="X141" s="236">
        <f t="shared" si="37"/>
        <v>0</v>
      </c>
      <c r="Y141" s="253">
        <f t="shared" si="38"/>
        <v>0</v>
      </c>
    </row>
    <row r="142" spans="1:25" x14ac:dyDescent="0.25">
      <c r="A142" s="111">
        <f>Données!A142</f>
        <v>5638</v>
      </c>
      <c r="B142" s="119" t="str">
        <f>Données!B142</f>
        <v>Lonay</v>
      </c>
      <c r="C142" s="252">
        <f>Données!C142</f>
        <v>2719</v>
      </c>
      <c r="D142" s="265"/>
      <c r="E142" s="249">
        <f>Données!X142</f>
        <v>369</v>
      </c>
      <c r="F142" s="286">
        <f t="shared" si="26"/>
        <v>0.13571165869805074</v>
      </c>
      <c r="G142" s="265">
        <f t="shared" si="27"/>
        <v>2078.8881311576356</v>
      </c>
      <c r="H142" s="273">
        <f t="shared" si="33"/>
        <v>0</v>
      </c>
      <c r="I142" s="287">
        <f t="shared" si="34"/>
        <v>0</v>
      </c>
      <c r="J142" s="265"/>
      <c r="K142" s="274">
        <f>Données!Y142</f>
        <v>0</v>
      </c>
      <c r="L142" s="441">
        <f>Données!Z142</f>
        <v>0.04</v>
      </c>
      <c r="M142" s="265">
        <f t="shared" si="28"/>
        <v>23.45796241345203</v>
      </c>
      <c r="N142" s="287">
        <f t="shared" si="29"/>
        <v>0</v>
      </c>
      <c r="O142" s="265"/>
      <c r="P142" s="249">
        <f>Données!AA142</f>
        <v>247</v>
      </c>
      <c r="Q142" s="284">
        <f>Données!AB142</f>
        <v>8</v>
      </c>
      <c r="R142" s="236">
        <f t="shared" si="30"/>
        <v>248.2</v>
      </c>
      <c r="S142" s="288">
        <f t="shared" si="31"/>
        <v>9.1283560132401617E-2</v>
      </c>
      <c r="T142" s="273">
        <f t="shared" si="32"/>
        <v>370.31779141104278</v>
      </c>
      <c r="U142" s="273">
        <f t="shared" si="35"/>
        <v>0</v>
      </c>
      <c r="V142" s="287">
        <f t="shared" si="36"/>
        <v>0</v>
      </c>
      <c r="W142" s="340"/>
      <c r="X142" s="236">
        <f t="shared" si="37"/>
        <v>0</v>
      </c>
      <c r="Y142" s="253">
        <f t="shared" si="38"/>
        <v>0</v>
      </c>
    </row>
    <row r="143" spans="1:25" x14ac:dyDescent="0.25">
      <c r="A143" s="111">
        <f>Données!A143</f>
        <v>5639</v>
      </c>
      <c r="B143" s="119" t="str">
        <f>Données!B143</f>
        <v>Lully</v>
      </c>
      <c r="C143" s="252">
        <f>Données!C143</f>
        <v>824</v>
      </c>
      <c r="D143" s="265"/>
      <c r="E143" s="249">
        <f>Données!X143</f>
        <v>203</v>
      </c>
      <c r="F143" s="286">
        <f t="shared" si="26"/>
        <v>0.24635922330097088</v>
      </c>
      <c r="G143" s="265">
        <f t="shared" si="27"/>
        <v>630.01243842364534</v>
      </c>
      <c r="H143" s="273">
        <f t="shared" si="33"/>
        <v>0</v>
      </c>
      <c r="I143" s="287">
        <f t="shared" si="34"/>
        <v>0</v>
      </c>
      <c r="J143" s="265"/>
      <c r="K143" s="274">
        <f>Données!Y143</f>
        <v>0</v>
      </c>
      <c r="L143" s="441">
        <f>Données!Z143</f>
        <v>5.3999999999999999E-2</v>
      </c>
      <c r="M143" s="265">
        <f t="shared" si="28"/>
        <v>31.668249258160238</v>
      </c>
      <c r="N143" s="287">
        <f t="shared" si="29"/>
        <v>0</v>
      </c>
      <c r="O143" s="265"/>
      <c r="P143" s="249">
        <f>Données!AA143</f>
        <v>109</v>
      </c>
      <c r="Q143" s="284">
        <f>Données!AB143</f>
        <v>34</v>
      </c>
      <c r="R143" s="236">
        <f t="shared" si="30"/>
        <v>114.1</v>
      </c>
      <c r="S143" s="288">
        <f t="shared" si="31"/>
        <v>0.13847087378640777</v>
      </c>
      <c r="T143" s="273">
        <f t="shared" si="32"/>
        <v>112.22576687116559</v>
      </c>
      <c r="U143" s="273">
        <f t="shared" si="35"/>
        <v>1.8742331288344047</v>
      </c>
      <c r="V143" s="287">
        <f t="shared" si="36"/>
        <v>-7994</v>
      </c>
      <c r="W143" s="340"/>
      <c r="X143" s="236">
        <f t="shared" si="37"/>
        <v>-7994</v>
      </c>
      <c r="Y143" s="253">
        <f t="shared" si="38"/>
        <v>0</v>
      </c>
    </row>
    <row r="144" spans="1:25" x14ac:dyDescent="0.25">
      <c r="A144" s="111">
        <f>Données!A144</f>
        <v>5640</v>
      </c>
      <c r="B144" s="119" t="str">
        <f>Données!B144</f>
        <v>Lussy-sur-Morges</v>
      </c>
      <c r="C144" s="252">
        <f>Données!C144</f>
        <v>721</v>
      </c>
      <c r="D144" s="265"/>
      <c r="E144" s="249">
        <f>Données!X144</f>
        <v>235</v>
      </c>
      <c r="F144" s="286">
        <f t="shared" si="26"/>
        <v>0.32593619972260751</v>
      </c>
      <c r="G144" s="265">
        <f t="shared" si="27"/>
        <v>551.2608836206897</v>
      </c>
      <c r="H144" s="273">
        <f t="shared" si="33"/>
        <v>0</v>
      </c>
      <c r="I144" s="287">
        <f t="shared" si="34"/>
        <v>0</v>
      </c>
      <c r="J144" s="265"/>
      <c r="K144" s="274">
        <f>Données!Y144</f>
        <v>0</v>
      </c>
      <c r="L144" s="441">
        <f>Données!Z144</f>
        <v>3.6999999999999998E-2</v>
      </c>
      <c r="M144" s="265">
        <f t="shared" si="28"/>
        <v>21.698615232443125</v>
      </c>
      <c r="N144" s="287">
        <f t="shared" si="29"/>
        <v>0</v>
      </c>
      <c r="O144" s="265"/>
      <c r="P144" s="249">
        <f>Données!AA144</f>
        <v>103</v>
      </c>
      <c r="Q144" s="284">
        <f>Données!AB144</f>
        <v>86</v>
      </c>
      <c r="R144" s="236">
        <f t="shared" si="30"/>
        <v>115.9</v>
      </c>
      <c r="S144" s="288">
        <f t="shared" si="31"/>
        <v>0.16074895977808601</v>
      </c>
      <c r="T144" s="273">
        <f t="shared" si="32"/>
        <v>98.197546012269896</v>
      </c>
      <c r="U144" s="273">
        <f t="shared" si="35"/>
        <v>17.702453987730109</v>
      </c>
      <c r="V144" s="287">
        <f t="shared" si="36"/>
        <v>-75502</v>
      </c>
      <c r="W144" s="340"/>
      <c r="X144" s="236">
        <f t="shared" si="37"/>
        <v>-55019.584569732935</v>
      </c>
      <c r="Y144" s="253">
        <f t="shared" si="38"/>
        <v>-20482.415430267065</v>
      </c>
    </row>
    <row r="145" spans="1:25" x14ac:dyDescent="0.25">
      <c r="A145" s="111">
        <f>Données!A145</f>
        <v>5642</v>
      </c>
      <c r="B145" s="119" t="str">
        <f>Données!B145</f>
        <v>Morges</v>
      </c>
      <c r="C145" s="252">
        <f>Données!C145</f>
        <v>17813</v>
      </c>
      <c r="D145" s="265"/>
      <c r="E145" s="249">
        <f>Données!X145</f>
        <v>385</v>
      </c>
      <c r="F145" s="286">
        <f t="shared" si="26"/>
        <v>2.1613428394992421E-2</v>
      </c>
      <c r="G145" s="265">
        <f t="shared" si="27"/>
        <v>13619.431511699508</v>
      </c>
      <c r="H145" s="273">
        <f t="shared" si="33"/>
        <v>0</v>
      </c>
      <c r="I145" s="287">
        <f t="shared" si="34"/>
        <v>0</v>
      </c>
      <c r="J145" s="265"/>
      <c r="K145" s="274">
        <f>Données!Y145</f>
        <v>0</v>
      </c>
      <c r="L145" s="441">
        <f>Données!Z145</f>
        <v>5.2999999999999999E-2</v>
      </c>
      <c r="M145" s="265">
        <f t="shared" si="28"/>
        <v>31.081800197823938</v>
      </c>
      <c r="N145" s="287">
        <f t="shared" si="29"/>
        <v>0</v>
      </c>
      <c r="O145" s="265"/>
      <c r="P145" s="249">
        <f>Données!AA145</f>
        <v>1668</v>
      </c>
      <c r="Q145" s="284">
        <f>Données!AB145</f>
        <v>23</v>
      </c>
      <c r="R145" s="236">
        <f t="shared" si="30"/>
        <v>1671.45</v>
      </c>
      <c r="S145" s="288">
        <f t="shared" si="31"/>
        <v>9.3833155560545667E-2</v>
      </c>
      <c r="T145" s="273">
        <f t="shared" si="32"/>
        <v>2426.0650306748453</v>
      </c>
      <c r="U145" s="273">
        <f t="shared" si="35"/>
        <v>0</v>
      </c>
      <c r="V145" s="287">
        <f t="shared" si="36"/>
        <v>0</v>
      </c>
      <c r="W145" s="340"/>
      <c r="X145" s="236">
        <f t="shared" si="37"/>
        <v>0</v>
      </c>
      <c r="Y145" s="253">
        <f t="shared" si="38"/>
        <v>0</v>
      </c>
    </row>
    <row r="146" spans="1:25" x14ac:dyDescent="0.25">
      <c r="A146" s="111">
        <f>Données!A146</f>
        <v>5643</v>
      </c>
      <c r="B146" s="119" t="str">
        <f>Données!B146</f>
        <v>Préverenges</v>
      </c>
      <c r="C146" s="252">
        <f>Données!C146</f>
        <v>5236</v>
      </c>
      <c r="D146" s="265"/>
      <c r="E146" s="249">
        <f>Données!X146</f>
        <v>182</v>
      </c>
      <c r="F146" s="286">
        <f t="shared" si="26"/>
        <v>3.4759358288770054E-2</v>
      </c>
      <c r="G146" s="265">
        <f t="shared" si="27"/>
        <v>4003.3314655172412</v>
      </c>
      <c r="H146" s="273">
        <f t="shared" si="33"/>
        <v>0</v>
      </c>
      <c r="I146" s="287">
        <f t="shared" si="34"/>
        <v>0</v>
      </c>
      <c r="J146" s="265"/>
      <c r="K146" s="274">
        <f>Données!Y146</f>
        <v>0</v>
      </c>
      <c r="L146" s="441">
        <f>Données!Z146</f>
        <v>3.3000000000000002E-2</v>
      </c>
      <c r="M146" s="265">
        <f t="shared" si="28"/>
        <v>19.352818991097923</v>
      </c>
      <c r="N146" s="287">
        <f t="shared" si="29"/>
        <v>0</v>
      </c>
      <c r="O146" s="265"/>
      <c r="P146" s="249">
        <f>Données!AA146</f>
        <v>571</v>
      </c>
      <c r="Q146" s="284">
        <f>Données!AB146</f>
        <v>21</v>
      </c>
      <c r="R146" s="236">
        <f t="shared" si="30"/>
        <v>574.15</v>
      </c>
      <c r="S146" s="288">
        <f t="shared" si="31"/>
        <v>0.10965431627196333</v>
      </c>
      <c r="T146" s="273">
        <f t="shared" si="32"/>
        <v>713.12392638036772</v>
      </c>
      <c r="U146" s="273">
        <f t="shared" si="35"/>
        <v>0</v>
      </c>
      <c r="V146" s="287">
        <f t="shared" si="36"/>
        <v>0</v>
      </c>
      <c r="W146" s="340"/>
      <c r="X146" s="236">
        <f t="shared" si="37"/>
        <v>0</v>
      </c>
      <c r="Y146" s="253">
        <f t="shared" si="38"/>
        <v>0</v>
      </c>
    </row>
    <row r="147" spans="1:25" x14ac:dyDescent="0.25">
      <c r="A147" s="111">
        <f>Données!A147</f>
        <v>5645</v>
      </c>
      <c r="B147" s="119" t="str">
        <f>Données!B147</f>
        <v>Romanel-sur-Morges</v>
      </c>
      <c r="C147" s="252">
        <f>Données!C147</f>
        <v>462</v>
      </c>
      <c r="D147" s="265"/>
      <c r="E147" s="249">
        <f>Données!X147</f>
        <v>170</v>
      </c>
      <c r="F147" s="286">
        <f t="shared" si="26"/>
        <v>0.36796536796536794</v>
      </c>
      <c r="G147" s="265">
        <f t="shared" si="27"/>
        <v>353.2351293103448</v>
      </c>
      <c r="H147" s="273">
        <f t="shared" si="33"/>
        <v>0</v>
      </c>
      <c r="I147" s="287">
        <f t="shared" si="34"/>
        <v>0</v>
      </c>
      <c r="J147" s="265"/>
      <c r="K147" s="274">
        <f>Données!Y147</f>
        <v>0</v>
      </c>
      <c r="L147" s="441">
        <f>Données!Z147</f>
        <v>7.9000000000000001E-2</v>
      </c>
      <c r="M147" s="265">
        <f t="shared" si="28"/>
        <v>46.329475766567754</v>
      </c>
      <c r="N147" s="287">
        <f t="shared" si="29"/>
        <v>0</v>
      </c>
      <c r="O147" s="265"/>
      <c r="P147" s="249">
        <f>Données!AA147</f>
        <v>39</v>
      </c>
      <c r="Q147" s="284">
        <f>Données!AB147</f>
        <v>21</v>
      </c>
      <c r="R147" s="236">
        <f t="shared" si="30"/>
        <v>42.15</v>
      </c>
      <c r="S147" s="288">
        <f t="shared" si="31"/>
        <v>9.1233766233766236E-2</v>
      </c>
      <c r="T147" s="273">
        <f t="shared" si="32"/>
        <v>62.922699386503041</v>
      </c>
      <c r="U147" s="273">
        <f t="shared" si="35"/>
        <v>0</v>
      </c>
      <c r="V147" s="287">
        <f t="shared" si="36"/>
        <v>0</v>
      </c>
      <c r="W147" s="340"/>
      <c r="X147" s="236">
        <f t="shared" si="37"/>
        <v>0</v>
      </c>
      <c r="Y147" s="253">
        <f t="shared" si="38"/>
        <v>0</v>
      </c>
    </row>
    <row r="148" spans="1:25" x14ac:dyDescent="0.25">
      <c r="A148" s="111">
        <f>Données!A148</f>
        <v>5646</v>
      </c>
      <c r="B148" s="119" t="str">
        <f>Données!B148</f>
        <v>Saint-Prex</v>
      </c>
      <c r="C148" s="252">
        <f>Données!C148</f>
        <v>5922</v>
      </c>
      <c r="D148" s="265"/>
      <c r="E148" s="249">
        <f>Données!X148</f>
        <v>551</v>
      </c>
      <c r="F148" s="286">
        <f t="shared" si="26"/>
        <v>9.3042890915231338E-2</v>
      </c>
      <c r="G148" s="265">
        <f t="shared" si="27"/>
        <v>4527.8321120689652</v>
      </c>
      <c r="H148" s="273">
        <f t="shared" si="33"/>
        <v>0</v>
      </c>
      <c r="I148" s="287">
        <f t="shared" si="34"/>
        <v>0</v>
      </c>
      <c r="J148" s="265"/>
      <c r="K148" s="274">
        <f>Données!Y148</f>
        <v>0</v>
      </c>
      <c r="L148" s="441">
        <f>Données!Z148</f>
        <v>4.3999999999999997E-2</v>
      </c>
      <c r="M148" s="265">
        <f t="shared" si="28"/>
        <v>25.803758654797228</v>
      </c>
      <c r="N148" s="287">
        <f t="shared" si="29"/>
        <v>0</v>
      </c>
      <c r="O148" s="265"/>
      <c r="P148" s="249">
        <f>Données!AA148</f>
        <v>658</v>
      </c>
      <c r="Q148" s="284">
        <f>Données!AB148</f>
        <v>16</v>
      </c>
      <c r="R148" s="236">
        <f t="shared" si="30"/>
        <v>660.4</v>
      </c>
      <c r="S148" s="288">
        <f t="shared" si="31"/>
        <v>0.11151637960148598</v>
      </c>
      <c r="T148" s="273">
        <f t="shared" si="32"/>
        <v>806.55460122699344</v>
      </c>
      <c r="U148" s="273">
        <f t="shared" si="35"/>
        <v>0</v>
      </c>
      <c r="V148" s="287">
        <f t="shared" si="36"/>
        <v>0</v>
      </c>
      <c r="W148" s="340"/>
      <c r="X148" s="236">
        <f t="shared" si="37"/>
        <v>0</v>
      </c>
      <c r="Y148" s="253">
        <f t="shared" si="38"/>
        <v>0</v>
      </c>
    </row>
    <row r="149" spans="1:25" x14ac:dyDescent="0.25">
      <c r="A149" s="111">
        <f>Données!A149</f>
        <v>5648</v>
      </c>
      <c r="B149" s="119" t="str">
        <f>Données!B149</f>
        <v>Saint-Sulpice</v>
      </c>
      <c r="C149" s="252">
        <f>Données!C149</f>
        <v>5193</v>
      </c>
      <c r="D149" s="265"/>
      <c r="E149" s="249">
        <f>Données!X149</f>
        <v>181</v>
      </c>
      <c r="F149" s="286">
        <f t="shared" si="26"/>
        <v>3.4854611977662237E-2</v>
      </c>
      <c r="G149" s="265">
        <f t="shared" si="27"/>
        <v>3970.4546028325121</v>
      </c>
      <c r="H149" s="273">
        <f t="shared" si="33"/>
        <v>0</v>
      </c>
      <c r="I149" s="287">
        <f t="shared" si="34"/>
        <v>0</v>
      </c>
      <c r="J149" s="265"/>
      <c r="K149" s="274">
        <f>Données!Y149</f>
        <v>0</v>
      </c>
      <c r="L149" s="441">
        <f>Données!Z149</f>
        <v>3.6999999999999998E-2</v>
      </c>
      <c r="M149" s="265">
        <f t="shared" si="28"/>
        <v>21.698615232443125</v>
      </c>
      <c r="N149" s="287">
        <f t="shared" si="29"/>
        <v>0</v>
      </c>
      <c r="O149" s="265"/>
      <c r="P149" s="249">
        <f>Données!AA149</f>
        <v>467</v>
      </c>
      <c r="Q149" s="284">
        <f>Données!AB149</f>
        <v>96</v>
      </c>
      <c r="R149" s="236">
        <f t="shared" si="30"/>
        <v>481.4</v>
      </c>
      <c r="S149" s="288">
        <f t="shared" si="31"/>
        <v>9.2701713845561334E-2</v>
      </c>
      <c r="T149" s="273">
        <f t="shared" si="32"/>
        <v>707.26748466257641</v>
      </c>
      <c r="U149" s="273">
        <f t="shared" si="35"/>
        <v>0</v>
      </c>
      <c r="V149" s="287">
        <f t="shared" si="36"/>
        <v>0</v>
      </c>
      <c r="W149" s="340"/>
      <c r="X149" s="236">
        <f t="shared" si="37"/>
        <v>0</v>
      </c>
      <c r="Y149" s="253">
        <f t="shared" si="38"/>
        <v>0</v>
      </c>
    </row>
    <row r="150" spans="1:25" x14ac:dyDescent="0.25">
      <c r="A150" s="111">
        <f>Données!A150</f>
        <v>5649</v>
      </c>
      <c r="B150" s="119" t="str">
        <f>Données!B150</f>
        <v>Tolochenaz</v>
      </c>
      <c r="C150" s="252">
        <f>Données!C150</f>
        <v>1928</v>
      </c>
      <c r="D150" s="265"/>
      <c r="E150" s="249">
        <f>Données!X150</f>
        <v>157</v>
      </c>
      <c r="F150" s="286">
        <f t="shared" si="26"/>
        <v>8.1431535269709546E-2</v>
      </c>
      <c r="G150" s="265">
        <f t="shared" si="27"/>
        <v>1474.1067733990149</v>
      </c>
      <c r="H150" s="273">
        <f t="shared" si="33"/>
        <v>0</v>
      </c>
      <c r="I150" s="287">
        <f t="shared" si="34"/>
        <v>0</v>
      </c>
      <c r="J150" s="265"/>
      <c r="K150" s="274">
        <f>Données!Y150</f>
        <v>0</v>
      </c>
      <c r="L150" s="441">
        <f>Données!Z150</f>
        <v>5.3999999999999999E-2</v>
      </c>
      <c r="M150" s="265">
        <f t="shared" si="28"/>
        <v>31.668249258160238</v>
      </c>
      <c r="N150" s="287">
        <f t="shared" si="29"/>
        <v>0</v>
      </c>
      <c r="O150" s="265"/>
      <c r="P150" s="249">
        <f>Données!AA150</f>
        <v>229</v>
      </c>
      <c r="Q150" s="284">
        <f>Données!AB150</f>
        <v>74</v>
      </c>
      <c r="R150" s="236">
        <f t="shared" si="30"/>
        <v>240.1</v>
      </c>
      <c r="S150" s="288">
        <f t="shared" si="31"/>
        <v>0.12453319502074689</v>
      </c>
      <c r="T150" s="273">
        <f t="shared" si="32"/>
        <v>262.58650306748456</v>
      </c>
      <c r="U150" s="273">
        <f t="shared" si="35"/>
        <v>0</v>
      </c>
      <c r="V150" s="287">
        <f t="shared" si="36"/>
        <v>0</v>
      </c>
      <c r="W150" s="340"/>
      <c r="X150" s="236">
        <f t="shared" si="37"/>
        <v>0</v>
      </c>
      <c r="Y150" s="253">
        <f t="shared" si="38"/>
        <v>0</v>
      </c>
    </row>
    <row r="151" spans="1:25" x14ac:dyDescent="0.25">
      <c r="A151" s="111">
        <f>Données!A151</f>
        <v>5650</v>
      </c>
      <c r="B151" s="119" t="str">
        <f>Données!B151</f>
        <v>Vaux-sur-Morges</v>
      </c>
      <c r="C151" s="252">
        <f>Données!C151</f>
        <v>185</v>
      </c>
      <c r="D151" s="265"/>
      <c r="E151" s="249">
        <f>Données!X151</f>
        <v>211</v>
      </c>
      <c r="F151" s="286">
        <f t="shared" si="26"/>
        <v>1.1405405405405404</v>
      </c>
      <c r="G151" s="265">
        <f t="shared" si="27"/>
        <v>141.44696736453201</v>
      </c>
      <c r="H151" s="273">
        <f t="shared" si="33"/>
        <v>69.553032635467986</v>
      </c>
      <c r="I151" s="287">
        <f t="shared" si="34"/>
        <v>-7416</v>
      </c>
      <c r="J151" s="265"/>
      <c r="K151" s="274">
        <f>Données!Y151</f>
        <v>0</v>
      </c>
      <c r="L151" s="441">
        <f>Données!Z151</f>
        <v>4.3999999999999997E-2</v>
      </c>
      <c r="M151" s="265">
        <f t="shared" si="28"/>
        <v>25.803758654797228</v>
      </c>
      <c r="N151" s="287">
        <f t="shared" si="29"/>
        <v>0</v>
      </c>
      <c r="O151" s="265"/>
      <c r="P151" s="249">
        <f>Données!AA151</f>
        <v>21</v>
      </c>
      <c r="Q151" s="284">
        <f>Données!AB151</f>
        <v>11</v>
      </c>
      <c r="R151" s="236">
        <f t="shared" si="30"/>
        <v>22.65</v>
      </c>
      <c r="S151" s="288">
        <f t="shared" si="31"/>
        <v>0.12243243243243243</v>
      </c>
      <c r="T151" s="273">
        <f t="shared" si="32"/>
        <v>25.196319018404896</v>
      </c>
      <c r="U151" s="273">
        <f t="shared" si="35"/>
        <v>0</v>
      </c>
      <c r="V151" s="287">
        <f t="shared" si="36"/>
        <v>0</v>
      </c>
      <c r="W151" s="340"/>
      <c r="X151" s="236">
        <f t="shared" si="37"/>
        <v>0</v>
      </c>
      <c r="Y151" s="253">
        <f t="shared" si="38"/>
        <v>0</v>
      </c>
    </row>
    <row r="152" spans="1:25" x14ac:dyDescent="0.25">
      <c r="A152" s="111">
        <f>Données!A152</f>
        <v>5651</v>
      </c>
      <c r="B152" s="119" t="str">
        <f>Données!B152</f>
        <v>Villars-Sainte-Croix</v>
      </c>
      <c r="C152" s="252">
        <f>Données!C152</f>
        <v>943</v>
      </c>
      <c r="D152" s="265"/>
      <c r="E152" s="249">
        <f>Données!X152</f>
        <v>164</v>
      </c>
      <c r="F152" s="286">
        <f t="shared" si="26"/>
        <v>0.17391304347826086</v>
      </c>
      <c r="G152" s="265">
        <f t="shared" si="27"/>
        <v>720.99724445812808</v>
      </c>
      <c r="H152" s="273">
        <f t="shared" si="33"/>
        <v>0</v>
      </c>
      <c r="I152" s="287">
        <f t="shared" si="34"/>
        <v>0</v>
      </c>
      <c r="J152" s="265"/>
      <c r="K152" s="274">
        <f>Données!Y152</f>
        <v>0</v>
      </c>
      <c r="L152" s="441">
        <f>Données!Z152</f>
        <v>6.4000000000000001E-2</v>
      </c>
      <c r="M152" s="265">
        <f t="shared" si="28"/>
        <v>37.532739861523247</v>
      </c>
      <c r="N152" s="287">
        <f t="shared" si="29"/>
        <v>0</v>
      </c>
      <c r="O152" s="265"/>
      <c r="P152" s="249">
        <f>Données!AA152</f>
        <v>116</v>
      </c>
      <c r="Q152" s="284">
        <f>Données!AB152</f>
        <v>57</v>
      </c>
      <c r="R152" s="236">
        <f t="shared" si="30"/>
        <v>124.55</v>
      </c>
      <c r="S152" s="288">
        <f t="shared" si="31"/>
        <v>0.13207847295864264</v>
      </c>
      <c r="T152" s="273">
        <f t="shared" si="32"/>
        <v>128.43312883435576</v>
      </c>
      <c r="U152" s="273">
        <f t="shared" si="35"/>
        <v>0</v>
      </c>
      <c r="V152" s="287">
        <f t="shared" si="36"/>
        <v>0</v>
      </c>
      <c r="W152" s="340"/>
      <c r="X152" s="236">
        <f t="shared" si="37"/>
        <v>0</v>
      </c>
      <c r="Y152" s="253">
        <f t="shared" si="38"/>
        <v>0</v>
      </c>
    </row>
    <row r="153" spans="1:25" x14ac:dyDescent="0.25">
      <c r="A153" s="111">
        <f>Données!A153</f>
        <v>5652</v>
      </c>
      <c r="B153" s="119" t="str">
        <f>Données!B153</f>
        <v>Villars-sous-Yens</v>
      </c>
      <c r="C153" s="252">
        <f>Données!C153</f>
        <v>603</v>
      </c>
      <c r="D153" s="265"/>
      <c r="E153" s="249">
        <f>Données!X153</f>
        <v>307</v>
      </c>
      <c r="F153" s="286">
        <f t="shared" si="26"/>
        <v>0.50912106135986734</v>
      </c>
      <c r="G153" s="265">
        <f t="shared" si="27"/>
        <v>461.04065578817733</v>
      </c>
      <c r="H153" s="273">
        <f t="shared" si="33"/>
        <v>0</v>
      </c>
      <c r="I153" s="287">
        <f t="shared" si="34"/>
        <v>0</v>
      </c>
      <c r="J153" s="265"/>
      <c r="K153" s="274">
        <f>Données!Y153</f>
        <v>0</v>
      </c>
      <c r="L153" s="441">
        <f>Données!Z153</f>
        <v>3.9E-2</v>
      </c>
      <c r="M153" s="265">
        <f t="shared" si="28"/>
        <v>22.871513353115727</v>
      </c>
      <c r="N153" s="287">
        <f t="shared" si="29"/>
        <v>0</v>
      </c>
      <c r="O153" s="265"/>
      <c r="P153" s="249">
        <f>Données!AA153</f>
        <v>65</v>
      </c>
      <c r="Q153" s="284">
        <f>Données!AB153</f>
        <v>34</v>
      </c>
      <c r="R153" s="236">
        <f t="shared" si="30"/>
        <v>70.099999999999994</v>
      </c>
      <c r="S153" s="288">
        <f t="shared" si="31"/>
        <v>0.11625207296849087</v>
      </c>
      <c r="T153" s="273">
        <f t="shared" si="32"/>
        <v>82.126380368098125</v>
      </c>
      <c r="U153" s="273">
        <f t="shared" si="35"/>
        <v>0</v>
      </c>
      <c r="V153" s="287">
        <f t="shared" si="36"/>
        <v>0</v>
      </c>
      <c r="W153" s="340"/>
      <c r="X153" s="236">
        <f t="shared" si="37"/>
        <v>0</v>
      </c>
      <c r="Y153" s="253">
        <f t="shared" si="38"/>
        <v>0</v>
      </c>
    </row>
    <row r="154" spans="1:25" x14ac:dyDescent="0.25">
      <c r="A154" s="111">
        <f>Données!A154</f>
        <v>5653</v>
      </c>
      <c r="B154" s="119" t="str">
        <f>Données!B154</f>
        <v>Vufflens-le-Château</v>
      </c>
      <c r="C154" s="252">
        <f>Données!C154</f>
        <v>887</v>
      </c>
      <c r="D154" s="265"/>
      <c r="E154" s="249">
        <f>Données!X154</f>
        <v>215</v>
      </c>
      <c r="F154" s="286">
        <f t="shared" si="26"/>
        <v>0.24239007891770012</v>
      </c>
      <c r="G154" s="265">
        <f t="shared" si="27"/>
        <v>678.18086514778327</v>
      </c>
      <c r="H154" s="273">
        <f t="shared" si="33"/>
        <v>0</v>
      </c>
      <c r="I154" s="287">
        <f t="shared" si="34"/>
        <v>0</v>
      </c>
      <c r="J154" s="265"/>
      <c r="K154" s="274">
        <f>Données!Y154</f>
        <v>0</v>
      </c>
      <c r="L154" s="441">
        <f>Données!Z154</f>
        <v>7.8E-2</v>
      </c>
      <c r="M154" s="265">
        <f t="shared" si="28"/>
        <v>45.743026706231454</v>
      </c>
      <c r="N154" s="287">
        <f t="shared" si="29"/>
        <v>0</v>
      </c>
      <c r="O154" s="265"/>
      <c r="P154" s="249">
        <f>Données!AA154</f>
        <v>96</v>
      </c>
      <c r="Q154" s="284">
        <f>Données!AB154</f>
        <v>53</v>
      </c>
      <c r="R154" s="236">
        <f t="shared" si="30"/>
        <v>103.95</v>
      </c>
      <c r="S154" s="288">
        <f t="shared" si="31"/>
        <v>0.11719278466741827</v>
      </c>
      <c r="T154" s="273">
        <f t="shared" si="32"/>
        <v>120.8061349693251</v>
      </c>
      <c r="U154" s="273">
        <f t="shared" si="35"/>
        <v>0</v>
      </c>
      <c r="V154" s="287">
        <f t="shared" si="36"/>
        <v>0</v>
      </c>
      <c r="W154" s="340"/>
      <c r="X154" s="236">
        <f t="shared" si="37"/>
        <v>0</v>
      </c>
      <c r="Y154" s="253">
        <f t="shared" si="38"/>
        <v>0</v>
      </c>
    </row>
    <row r="155" spans="1:25" x14ac:dyDescent="0.25">
      <c r="A155" s="111">
        <f>Données!A155</f>
        <v>5654</v>
      </c>
      <c r="B155" s="119" t="str">
        <f>Données!B155</f>
        <v>Vullierens</v>
      </c>
      <c r="C155" s="252">
        <f>Données!C155</f>
        <v>577</v>
      </c>
      <c r="D155" s="265"/>
      <c r="E155" s="249">
        <f>Données!X155</f>
        <v>681</v>
      </c>
      <c r="F155" s="286">
        <f t="shared" si="26"/>
        <v>1.1802426343154246</v>
      </c>
      <c r="G155" s="265">
        <f t="shared" si="27"/>
        <v>441.1616225369458</v>
      </c>
      <c r="H155" s="273">
        <f t="shared" si="33"/>
        <v>239.8383774630542</v>
      </c>
      <c r="I155" s="287">
        <f t="shared" si="34"/>
        <v>-25573</v>
      </c>
      <c r="J155" s="265"/>
      <c r="K155" s="274">
        <f>Données!Y155</f>
        <v>0</v>
      </c>
      <c r="L155" s="441">
        <f>Données!Z155</f>
        <v>1.6E-2</v>
      </c>
      <c r="M155" s="265">
        <f t="shared" si="28"/>
        <v>9.3831849653808117</v>
      </c>
      <c r="N155" s="287">
        <f t="shared" si="29"/>
        <v>0</v>
      </c>
      <c r="O155" s="265"/>
      <c r="P155" s="249">
        <f>Données!AA155</f>
        <v>74</v>
      </c>
      <c r="Q155" s="284">
        <f>Données!AB155</f>
        <v>74</v>
      </c>
      <c r="R155" s="236">
        <f t="shared" si="30"/>
        <v>85.1</v>
      </c>
      <c r="S155" s="288">
        <f t="shared" si="31"/>
        <v>0.14748700173310225</v>
      </c>
      <c r="T155" s="273">
        <f t="shared" si="32"/>
        <v>78.585276073619596</v>
      </c>
      <c r="U155" s="273">
        <f t="shared" si="35"/>
        <v>6.5147239263803982</v>
      </c>
      <c r="V155" s="287">
        <f t="shared" si="36"/>
        <v>-27786</v>
      </c>
      <c r="W155" s="340"/>
      <c r="X155" s="236">
        <f t="shared" si="37"/>
        <v>-27786</v>
      </c>
      <c r="Y155" s="253">
        <f t="shared" si="38"/>
        <v>0</v>
      </c>
    </row>
    <row r="156" spans="1:25" x14ac:dyDescent="0.25">
      <c r="A156" s="111">
        <f>Données!A156</f>
        <v>5655</v>
      </c>
      <c r="B156" s="119" t="str">
        <f>Données!B156</f>
        <v>Yens</v>
      </c>
      <c r="C156" s="252">
        <f>Données!C156</f>
        <v>1481</v>
      </c>
      <c r="D156" s="265"/>
      <c r="E156" s="249">
        <f>Données!X156</f>
        <v>951</v>
      </c>
      <c r="F156" s="286">
        <f t="shared" si="26"/>
        <v>0.64213369345037141</v>
      </c>
      <c r="G156" s="265">
        <f t="shared" si="27"/>
        <v>1132.3403171182265</v>
      </c>
      <c r="H156" s="273">
        <f t="shared" si="33"/>
        <v>0</v>
      </c>
      <c r="I156" s="287">
        <f t="shared" si="34"/>
        <v>0</v>
      </c>
      <c r="J156" s="265"/>
      <c r="K156" s="274">
        <f>Données!Y156</f>
        <v>0</v>
      </c>
      <c r="L156" s="441">
        <f>Données!Z156</f>
        <v>4.2999999999999997E-2</v>
      </c>
      <c r="M156" s="265">
        <f t="shared" si="28"/>
        <v>25.217309594460929</v>
      </c>
      <c r="N156" s="287">
        <f t="shared" si="29"/>
        <v>0</v>
      </c>
      <c r="O156" s="265"/>
      <c r="P156" s="249">
        <f>Données!AA156</f>
        <v>179</v>
      </c>
      <c r="Q156" s="284">
        <f>Données!AB156</f>
        <v>52</v>
      </c>
      <c r="R156" s="236">
        <f t="shared" si="30"/>
        <v>186.8</v>
      </c>
      <c r="S156" s="288">
        <f t="shared" si="31"/>
        <v>0.12613099257258609</v>
      </c>
      <c r="T156" s="273">
        <f t="shared" si="32"/>
        <v>201.70674846625758</v>
      </c>
      <c r="U156" s="273">
        <f t="shared" si="35"/>
        <v>0</v>
      </c>
      <c r="V156" s="287">
        <f t="shared" si="36"/>
        <v>0</v>
      </c>
      <c r="W156" s="340"/>
      <c r="X156" s="236">
        <f t="shared" si="37"/>
        <v>0</v>
      </c>
      <c r="Y156" s="253">
        <f t="shared" si="38"/>
        <v>0</v>
      </c>
    </row>
    <row r="157" spans="1:25" x14ac:dyDescent="0.25">
      <c r="A157" s="111">
        <f>Données!A157</f>
        <v>5656</v>
      </c>
      <c r="B157" s="119" t="str">
        <f>Données!B157</f>
        <v>Hautemorges</v>
      </c>
      <c r="C157" s="252">
        <f>Données!C157</f>
        <v>4426</v>
      </c>
      <c r="D157" s="265"/>
      <c r="E157" s="249">
        <f>Données!X157</f>
        <v>3297</v>
      </c>
      <c r="F157" s="286">
        <f t="shared" si="26"/>
        <v>0.74491640307275198</v>
      </c>
      <c r="G157" s="265">
        <f t="shared" si="27"/>
        <v>3384.0231219211823</v>
      </c>
      <c r="H157" s="273">
        <f t="shared" si="33"/>
        <v>0</v>
      </c>
      <c r="I157" s="287">
        <f t="shared" si="34"/>
        <v>0</v>
      </c>
      <c r="J157" s="265"/>
      <c r="K157" s="274">
        <f>Données!Y157</f>
        <v>0</v>
      </c>
      <c r="L157" s="441">
        <f>Données!Z157</f>
        <v>1.7000000000000001E-2</v>
      </c>
      <c r="M157" s="265">
        <f t="shared" si="28"/>
        <v>9.969634025717113</v>
      </c>
      <c r="N157" s="287">
        <f t="shared" si="29"/>
        <v>0</v>
      </c>
      <c r="O157" s="265"/>
      <c r="P157" s="249">
        <f>Données!AA157</f>
        <v>568</v>
      </c>
      <c r="Q157" s="284">
        <f>Données!AB157</f>
        <v>221</v>
      </c>
      <c r="R157" s="236">
        <f t="shared" si="30"/>
        <v>601.15</v>
      </c>
      <c r="S157" s="288">
        <f t="shared" si="31"/>
        <v>0.13582241301400813</v>
      </c>
      <c r="T157" s="273">
        <f t="shared" si="32"/>
        <v>602.80490797545986</v>
      </c>
      <c r="U157" s="273">
        <f t="shared" si="35"/>
        <v>0</v>
      </c>
      <c r="V157" s="287">
        <f t="shared" si="36"/>
        <v>0</v>
      </c>
      <c r="W157" s="340"/>
      <c r="X157" s="236">
        <f t="shared" si="37"/>
        <v>0</v>
      </c>
      <c r="Y157" s="253">
        <f t="shared" si="38"/>
        <v>0</v>
      </c>
    </row>
    <row r="158" spans="1:25" x14ac:dyDescent="0.25">
      <c r="A158" s="111">
        <f>Données!A158</f>
        <v>5661</v>
      </c>
      <c r="B158" s="119" t="str">
        <f>Données!B158</f>
        <v>Boulens</v>
      </c>
      <c r="C158" s="252">
        <f>Données!C158</f>
        <v>371</v>
      </c>
      <c r="D158" s="265"/>
      <c r="E158" s="249">
        <f>Données!X158</f>
        <v>341</v>
      </c>
      <c r="F158" s="286">
        <f t="shared" si="26"/>
        <v>0.91913746630727766</v>
      </c>
      <c r="G158" s="265">
        <f t="shared" si="27"/>
        <v>283.65851293103447</v>
      </c>
      <c r="H158" s="273">
        <f t="shared" si="33"/>
        <v>57.341487068965534</v>
      </c>
      <c r="I158" s="287">
        <f t="shared" si="34"/>
        <v>-6114</v>
      </c>
      <c r="J158" s="265"/>
      <c r="K158" s="274">
        <f>Données!Y158</f>
        <v>0</v>
      </c>
      <c r="L158" s="441">
        <f>Données!Z158</f>
        <v>0.20799999999999999</v>
      </c>
      <c r="M158" s="265">
        <f t="shared" si="28"/>
        <v>121.98140454995054</v>
      </c>
      <c r="N158" s="287">
        <f t="shared" si="29"/>
        <v>0</v>
      </c>
      <c r="O158" s="265"/>
      <c r="P158" s="249">
        <f>Données!AA158</f>
        <v>53</v>
      </c>
      <c r="Q158" s="284">
        <f>Données!AB158</f>
        <v>50</v>
      </c>
      <c r="R158" s="236">
        <f t="shared" si="30"/>
        <v>60.5</v>
      </c>
      <c r="S158" s="288">
        <f t="shared" si="31"/>
        <v>0.16307277628032346</v>
      </c>
      <c r="T158" s="273">
        <f t="shared" si="32"/>
        <v>50.528834355828195</v>
      </c>
      <c r="U158" s="273">
        <f t="shared" si="35"/>
        <v>9.9711656441718048</v>
      </c>
      <c r="V158" s="287">
        <f t="shared" si="36"/>
        <v>-42528</v>
      </c>
      <c r="W158" s="340"/>
      <c r="X158" s="236">
        <f t="shared" si="37"/>
        <v>-31988.130563798219</v>
      </c>
      <c r="Y158" s="253">
        <f t="shared" si="38"/>
        <v>-10539.869436201781</v>
      </c>
    </row>
    <row r="159" spans="1:25" x14ac:dyDescent="0.25">
      <c r="A159" s="111">
        <f>Données!A159</f>
        <v>5663</v>
      </c>
      <c r="B159" s="119" t="str">
        <f>Données!B159</f>
        <v>Bussy-sur-Moudon</v>
      </c>
      <c r="C159" s="252">
        <f>Données!C159</f>
        <v>267</v>
      </c>
      <c r="D159" s="265"/>
      <c r="E159" s="249">
        <f>Données!X159</f>
        <v>313</v>
      </c>
      <c r="F159" s="286">
        <f t="shared" si="26"/>
        <v>1.1722846441947565</v>
      </c>
      <c r="G159" s="265">
        <f t="shared" si="27"/>
        <v>204.14237992610836</v>
      </c>
      <c r="H159" s="273">
        <f t="shared" si="33"/>
        <v>108.85762007389164</v>
      </c>
      <c r="I159" s="287">
        <f t="shared" si="34"/>
        <v>-11607</v>
      </c>
      <c r="J159" s="265"/>
      <c r="K159" s="274">
        <f>Données!Y159</f>
        <v>0</v>
      </c>
      <c r="L159" s="441">
        <f>Données!Z159</f>
        <v>8.5000000000000006E-2</v>
      </c>
      <c r="M159" s="265">
        <f t="shared" si="28"/>
        <v>49.848170128585565</v>
      </c>
      <c r="N159" s="287">
        <f t="shared" si="29"/>
        <v>0</v>
      </c>
      <c r="O159" s="265"/>
      <c r="P159" s="249">
        <f>Données!AA159</f>
        <v>30</v>
      </c>
      <c r="Q159" s="284">
        <f>Données!AB159</f>
        <v>24</v>
      </c>
      <c r="R159" s="236">
        <f t="shared" si="30"/>
        <v>33.6</v>
      </c>
      <c r="S159" s="288">
        <f t="shared" si="31"/>
        <v>0.12584269662921349</v>
      </c>
      <c r="T159" s="273">
        <f t="shared" si="32"/>
        <v>36.364417177914092</v>
      </c>
      <c r="U159" s="273">
        <f t="shared" si="35"/>
        <v>0</v>
      </c>
      <c r="V159" s="287">
        <f t="shared" si="36"/>
        <v>0</v>
      </c>
      <c r="W159" s="340"/>
      <c r="X159" s="236">
        <f t="shared" si="37"/>
        <v>0</v>
      </c>
      <c r="Y159" s="253">
        <f t="shared" si="38"/>
        <v>0</v>
      </c>
    </row>
    <row r="160" spans="1:25" x14ac:dyDescent="0.25">
      <c r="A160" s="111">
        <f>Données!A160</f>
        <v>5665</v>
      </c>
      <c r="B160" s="119" t="str">
        <f>Données!B160</f>
        <v>Chavannes-sur-Moudon</v>
      </c>
      <c r="C160" s="252">
        <f>Données!C160</f>
        <v>232</v>
      </c>
      <c r="D160" s="265"/>
      <c r="E160" s="249">
        <f>Données!X160</f>
        <v>513</v>
      </c>
      <c r="F160" s="286">
        <f t="shared" si="26"/>
        <v>2.2112068965517242</v>
      </c>
      <c r="G160" s="265">
        <f t="shared" si="27"/>
        <v>177.38214285714287</v>
      </c>
      <c r="H160" s="273">
        <f t="shared" si="33"/>
        <v>335.61785714285713</v>
      </c>
      <c r="I160" s="287">
        <f t="shared" si="34"/>
        <v>-35786</v>
      </c>
      <c r="J160" s="265"/>
      <c r="K160" s="274">
        <f>Données!Y160</f>
        <v>18</v>
      </c>
      <c r="L160" s="441">
        <f>Données!Z160</f>
        <v>8.1000000000000003E-2</v>
      </c>
      <c r="M160" s="265">
        <f t="shared" si="28"/>
        <v>47.50237388724036</v>
      </c>
      <c r="N160" s="287">
        <f t="shared" si="29"/>
        <v>-855</v>
      </c>
      <c r="O160" s="265"/>
      <c r="P160" s="249">
        <f>Données!AA160</f>
        <v>20</v>
      </c>
      <c r="Q160" s="284">
        <f>Données!AB160</f>
        <v>20</v>
      </c>
      <c r="R160" s="236">
        <f t="shared" si="30"/>
        <v>23</v>
      </c>
      <c r="S160" s="288">
        <f t="shared" si="31"/>
        <v>9.9137931034482762E-2</v>
      </c>
      <c r="T160" s="273">
        <f t="shared" si="32"/>
        <v>31.597546012269923</v>
      </c>
      <c r="U160" s="273">
        <f t="shared" si="35"/>
        <v>0</v>
      </c>
      <c r="V160" s="287">
        <f t="shared" si="36"/>
        <v>0</v>
      </c>
      <c r="W160" s="340"/>
      <c r="X160" s="236">
        <f t="shared" si="37"/>
        <v>0</v>
      </c>
      <c r="Y160" s="253">
        <f t="shared" si="38"/>
        <v>0</v>
      </c>
    </row>
    <row r="161" spans="1:25" x14ac:dyDescent="0.25">
      <c r="A161" s="111">
        <f>Données!A161</f>
        <v>5669</v>
      </c>
      <c r="B161" s="119" t="str">
        <f>Données!B161</f>
        <v>Curtilles</v>
      </c>
      <c r="C161" s="252">
        <f>Données!C161</f>
        <v>302</v>
      </c>
      <c r="D161" s="265"/>
      <c r="E161" s="249">
        <f>Données!X161</f>
        <v>494</v>
      </c>
      <c r="F161" s="286">
        <f t="shared" si="26"/>
        <v>1.6357615894039734</v>
      </c>
      <c r="G161" s="265">
        <f t="shared" si="27"/>
        <v>230.90261699507388</v>
      </c>
      <c r="H161" s="273">
        <f t="shared" si="33"/>
        <v>263.09738300492609</v>
      </c>
      <c r="I161" s="287">
        <f t="shared" si="34"/>
        <v>-28053</v>
      </c>
      <c r="J161" s="265"/>
      <c r="K161" s="274">
        <f>Données!Y161</f>
        <v>0</v>
      </c>
      <c r="L161" s="441">
        <f>Données!Z161</f>
        <v>0.10299999999999999</v>
      </c>
      <c r="M161" s="265">
        <f t="shared" si="28"/>
        <v>60.40425321463897</v>
      </c>
      <c r="N161" s="287">
        <f t="shared" si="29"/>
        <v>0</v>
      </c>
      <c r="O161" s="265"/>
      <c r="P161" s="249">
        <f>Données!AA161</f>
        <v>27</v>
      </c>
      <c r="Q161" s="284">
        <f>Données!AB161</f>
        <v>8</v>
      </c>
      <c r="R161" s="236">
        <f t="shared" si="30"/>
        <v>28.2</v>
      </c>
      <c r="S161" s="288">
        <f t="shared" si="31"/>
        <v>9.3377483443708609E-2</v>
      </c>
      <c r="T161" s="273">
        <f t="shared" si="32"/>
        <v>41.131288343558261</v>
      </c>
      <c r="U161" s="273">
        <f t="shared" si="35"/>
        <v>0</v>
      </c>
      <c r="V161" s="287">
        <f t="shared" si="36"/>
        <v>0</v>
      </c>
      <c r="W161" s="340"/>
      <c r="X161" s="236">
        <f t="shared" si="37"/>
        <v>0</v>
      </c>
      <c r="Y161" s="253">
        <f t="shared" si="38"/>
        <v>0</v>
      </c>
    </row>
    <row r="162" spans="1:25" x14ac:dyDescent="0.25">
      <c r="A162" s="111">
        <f>Données!A162</f>
        <v>5671</v>
      </c>
      <c r="B162" s="119" t="str">
        <f>Données!B162</f>
        <v>Dompierre</v>
      </c>
      <c r="C162" s="252">
        <f>Données!C162</f>
        <v>242</v>
      </c>
      <c r="D162" s="265"/>
      <c r="E162" s="249">
        <f>Données!X162</f>
        <v>325</v>
      </c>
      <c r="F162" s="286">
        <f t="shared" si="26"/>
        <v>1.3429752066115703</v>
      </c>
      <c r="G162" s="265">
        <f t="shared" si="27"/>
        <v>185.02792487684729</v>
      </c>
      <c r="H162" s="273">
        <f t="shared" si="33"/>
        <v>139.97207512315271</v>
      </c>
      <c r="I162" s="287">
        <f t="shared" si="34"/>
        <v>-14925</v>
      </c>
      <c r="J162" s="265"/>
      <c r="K162" s="274">
        <f>Données!Y162</f>
        <v>2</v>
      </c>
      <c r="L162" s="441">
        <f>Données!Z162</f>
        <v>5.8000000000000003E-2</v>
      </c>
      <c r="M162" s="265">
        <f t="shared" si="28"/>
        <v>34.014045499505443</v>
      </c>
      <c r="N162" s="287">
        <f t="shared" si="29"/>
        <v>-68</v>
      </c>
      <c r="O162" s="265"/>
      <c r="P162" s="249">
        <f>Données!AA162</f>
        <v>33</v>
      </c>
      <c r="Q162" s="284">
        <f>Données!AB162</f>
        <v>33</v>
      </c>
      <c r="R162" s="236">
        <f t="shared" si="30"/>
        <v>37.950000000000003</v>
      </c>
      <c r="S162" s="288">
        <f t="shared" si="31"/>
        <v>0.15681818181818183</v>
      </c>
      <c r="T162" s="273">
        <f t="shared" si="32"/>
        <v>32.959509202453972</v>
      </c>
      <c r="U162" s="273">
        <f t="shared" si="35"/>
        <v>4.9904907975460304</v>
      </c>
      <c r="V162" s="287">
        <f t="shared" si="36"/>
        <v>-21285</v>
      </c>
      <c r="W162" s="340"/>
      <c r="X162" s="236">
        <f t="shared" si="37"/>
        <v>-21112.166172106823</v>
      </c>
      <c r="Y162" s="253">
        <f t="shared" si="38"/>
        <v>-172.83382789317693</v>
      </c>
    </row>
    <row r="163" spans="1:25" x14ac:dyDescent="0.25">
      <c r="A163" s="111">
        <f>Données!A163</f>
        <v>5673</v>
      </c>
      <c r="B163" s="119" t="str">
        <f>Données!B163</f>
        <v>Hermenches</v>
      </c>
      <c r="C163" s="252">
        <f>Données!C163</f>
        <v>364</v>
      </c>
      <c r="D163" s="265"/>
      <c r="E163" s="249">
        <f>Données!X163</f>
        <v>478</v>
      </c>
      <c r="F163" s="286">
        <f t="shared" si="26"/>
        <v>1.3131868131868132</v>
      </c>
      <c r="G163" s="265">
        <f t="shared" si="27"/>
        <v>278.30646551724141</v>
      </c>
      <c r="H163" s="273">
        <f t="shared" si="33"/>
        <v>199.69353448275859</v>
      </c>
      <c r="I163" s="287">
        <f t="shared" si="34"/>
        <v>-21293</v>
      </c>
      <c r="J163" s="265"/>
      <c r="K163" s="274">
        <f>Données!Y163</f>
        <v>52</v>
      </c>
      <c r="L163" s="441">
        <f>Données!Z163</f>
        <v>0.156</v>
      </c>
      <c r="M163" s="265">
        <f t="shared" si="28"/>
        <v>91.486053412462908</v>
      </c>
      <c r="N163" s="287">
        <f t="shared" si="29"/>
        <v>-4757</v>
      </c>
      <c r="O163" s="265"/>
      <c r="P163" s="249">
        <f>Données!AA163</f>
        <v>33</v>
      </c>
      <c r="Q163" s="284">
        <f>Données!AB163</f>
        <v>33</v>
      </c>
      <c r="R163" s="236">
        <f t="shared" si="30"/>
        <v>37.950000000000003</v>
      </c>
      <c r="S163" s="288">
        <f t="shared" si="31"/>
        <v>0.10425824175824176</v>
      </c>
      <c r="T163" s="273">
        <f t="shared" si="32"/>
        <v>49.575460122699361</v>
      </c>
      <c r="U163" s="273">
        <f t="shared" si="35"/>
        <v>0</v>
      </c>
      <c r="V163" s="287">
        <f t="shared" si="36"/>
        <v>0</v>
      </c>
      <c r="W163" s="340"/>
      <c r="X163" s="236">
        <f t="shared" si="37"/>
        <v>0</v>
      </c>
      <c r="Y163" s="253">
        <f t="shared" si="38"/>
        <v>0</v>
      </c>
    </row>
    <row r="164" spans="1:25" x14ac:dyDescent="0.25">
      <c r="A164" s="111">
        <f>Données!A164</f>
        <v>5674</v>
      </c>
      <c r="B164" s="119" t="str">
        <f>Données!B164</f>
        <v>Lovatens</v>
      </c>
      <c r="C164" s="252">
        <f>Données!C164</f>
        <v>152</v>
      </c>
      <c r="D164" s="265"/>
      <c r="E164" s="249">
        <f>Données!X164</f>
        <v>347</v>
      </c>
      <c r="F164" s="286">
        <f t="shared" si="26"/>
        <v>2.2828947368421053</v>
      </c>
      <c r="G164" s="265">
        <f t="shared" si="27"/>
        <v>116.21588669950739</v>
      </c>
      <c r="H164" s="273">
        <f t="shared" si="33"/>
        <v>230.78411330049261</v>
      </c>
      <c r="I164" s="287">
        <f t="shared" si="34"/>
        <v>-24608</v>
      </c>
      <c r="J164" s="265"/>
      <c r="K164" s="274">
        <f>Données!Y164</f>
        <v>11</v>
      </c>
      <c r="L164" s="441">
        <f>Données!Z164</f>
        <v>8.8999999999999996E-2</v>
      </c>
      <c r="M164" s="265">
        <f t="shared" si="28"/>
        <v>52.193966369930763</v>
      </c>
      <c r="N164" s="287">
        <f t="shared" si="29"/>
        <v>-574</v>
      </c>
      <c r="O164" s="265"/>
      <c r="P164" s="249">
        <f>Données!AA164</f>
        <v>18</v>
      </c>
      <c r="Q164" s="284">
        <f>Données!AB164</f>
        <v>18</v>
      </c>
      <c r="R164" s="236">
        <f t="shared" si="30"/>
        <v>20.7</v>
      </c>
      <c r="S164" s="288">
        <f t="shared" si="31"/>
        <v>0.1361842105263158</v>
      </c>
      <c r="T164" s="273">
        <f t="shared" si="32"/>
        <v>20.701840490797537</v>
      </c>
      <c r="U164" s="273">
        <f t="shared" si="35"/>
        <v>0</v>
      </c>
      <c r="V164" s="287">
        <f t="shared" si="36"/>
        <v>0</v>
      </c>
      <c r="W164" s="340"/>
      <c r="X164" s="236">
        <f t="shared" si="37"/>
        <v>0</v>
      </c>
      <c r="Y164" s="253">
        <f t="shared" si="38"/>
        <v>0</v>
      </c>
    </row>
    <row r="165" spans="1:25" x14ac:dyDescent="0.25">
      <c r="A165" s="111">
        <f>Données!A165</f>
        <v>5675</v>
      </c>
      <c r="B165" s="119" t="str">
        <f>Données!B165</f>
        <v>Lucens</v>
      </c>
      <c r="C165" s="252">
        <f>Données!C165</f>
        <v>4892</v>
      </c>
      <c r="D165" s="265"/>
      <c r="E165" s="249">
        <f>Données!X165</f>
        <v>1907</v>
      </c>
      <c r="F165" s="286">
        <f t="shared" si="26"/>
        <v>0.38982011447260834</v>
      </c>
      <c r="G165" s="265">
        <f t="shared" si="27"/>
        <v>3740.3165640394091</v>
      </c>
      <c r="H165" s="273">
        <f t="shared" si="33"/>
        <v>0</v>
      </c>
      <c r="I165" s="287">
        <f t="shared" si="34"/>
        <v>0</v>
      </c>
      <c r="J165" s="265"/>
      <c r="K165" s="274">
        <f>Données!Y165</f>
        <v>149</v>
      </c>
      <c r="L165" s="441">
        <f>Données!Z165</f>
        <v>0.14499999999999999</v>
      </c>
      <c r="M165" s="265">
        <f t="shared" si="28"/>
        <v>85.035113748763592</v>
      </c>
      <c r="N165" s="287">
        <f t="shared" si="29"/>
        <v>-12670</v>
      </c>
      <c r="O165" s="265"/>
      <c r="P165" s="249">
        <f>Données!AA165</f>
        <v>691</v>
      </c>
      <c r="Q165" s="284">
        <f>Données!AB165</f>
        <v>253</v>
      </c>
      <c r="R165" s="236">
        <f t="shared" si="30"/>
        <v>728.95</v>
      </c>
      <c r="S165" s="288">
        <f t="shared" si="31"/>
        <v>0.14900858544562551</v>
      </c>
      <c r="T165" s="273">
        <f t="shared" si="32"/>
        <v>666.27239263803654</v>
      </c>
      <c r="U165" s="273">
        <f t="shared" si="35"/>
        <v>62.67760736196351</v>
      </c>
      <c r="V165" s="287">
        <f t="shared" si="36"/>
        <v>-267325</v>
      </c>
      <c r="W165" s="340"/>
      <c r="X165" s="236">
        <f t="shared" si="37"/>
        <v>-161859.94065281897</v>
      </c>
      <c r="Y165" s="253">
        <f t="shared" si="38"/>
        <v>-105465.05934718103</v>
      </c>
    </row>
    <row r="166" spans="1:25" x14ac:dyDescent="0.25">
      <c r="A166" s="111">
        <f>Données!A166</f>
        <v>5678</v>
      </c>
      <c r="B166" s="119" t="str">
        <f>Données!B166</f>
        <v>Moudon</v>
      </c>
      <c r="C166" s="252">
        <f>Données!C166</f>
        <v>6847</v>
      </c>
      <c r="D166" s="265"/>
      <c r="E166" s="249">
        <f>Données!X166</f>
        <v>1539</v>
      </c>
      <c r="F166" s="286">
        <f t="shared" si="26"/>
        <v>0.2247699722506207</v>
      </c>
      <c r="G166" s="265">
        <f t="shared" si="27"/>
        <v>5235.0669488916255</v>
      </c>
      <c r="H166" s="273">
        <f t="shared" si="33"/>
        <v>0</v>
      </c>
      <c r="I166" s="287">
        <f t="shared" si="34"/>
        <v>0</v>
      </c>
      <c r="J166" s="265"/>
      <c r="K166" s="274">
        <f>Données!Y166</f>
        <v>28</v>
      </c>
      <c r="L166" s="441">
        <f>Données!Z166</f>
        <v>0.25600000000000001</v>
      </c>
      <c r="M166" s="265">
        <f t="shared" si="28"/>
        <v>150.13095944609299</v>
      </c>
      <c r="N166" s="287">
        <f t="shared" si="29"/>
        <v>-4204</v>
      </c>
      <c r="O166" s="265"/>
      <c r="P166" s="249">
        <f>Données!AA166</f>
        <v>1028</v>
      </c>
      <c r="Q166" s="284">
        <f>Données!AB166</f>
        <v>45</v>
      </c>
      <c r="R166" s="236">
        <f t="shared" si="30"/>
        <v>1034.75</v>
      </c>
      <c r="S166" s="288">
        <f t="shared" si="31"/>
        <v>0.15112458010807653</v>
      </c>
      <c r="T166" s="273">
        <f t="shared" si="32"/>
        <v>932.53619631901802</v>
      </c>
      <c r="U166" s="273">
        <f t="shared" si="35"/>
        <v>102.21380368098198</v>
      </c>
      <c r="V166" s="287">
        <f t="shared" si="36"/>
        <v>-435950</v>
      </c>
      <c r="W166" s="340"/>
      <c r="X166" s="236">
        <f t="shared" si="37"/>
        <v>-28789.317507418396</v>
      </c>
      <c r="Y166" s="253">
        <f t="shared" si="38"/>
        <v>-407160.6824925816</v>
      </c>
    </row>
    <row r="167" spans="1:25" x14ac:dyDescent="0.25">
      <c r="A167" s="111">
        <f>Données!A167</f>
        <v>5680</v>
      </c>
      <c r="B167" s="119" t="str">
        <f>Données!B167</f>
        <v>Ogens</v>
      </c>
      <c r="C167" s="252">
        <f>Données!C167</f>
        <v>342</v>
      </c>
      <c r="D167" s="265"/>
      <c r="E167" s="249">
        <f>Données!X167</f>
        <v>337</v>
      </c>
      <c r="F167" s="286">
        <f t="shared" si="26"/>
        <v>0.98538011695906436</v>
      </c>
      <c r="G167" s="265">
        <f t="shared" si="27"/>
        <v>261.48574507389162</v>
      </c>
      <c r="H167" s="273">
        <f t="shared" si="33"/>
        <v>75.514254926108379</v>
      </c>
      <c r="I167" s="287">
        <f t="shared" si="34"/>
        <v>-8052</v>
      </c>
      <c r="J167" s="265"/>
      <c r="K167" s="274">
        <f>Données!Y167</f>
        <v>0</v>
      </c>
      <c r="L167" s="441">
        <f>Données!Z167</f>
        <v>0.16900000000000001</v>
      </c>
      <c r="M167" s="265">
        <f t="shared" si="28"/>
        <v>99.109891196834823</v>
      </c>
      <c r="N167" s="287">
        <f t="shared" si="29"/>
        <v>0</v>
      </c>
      <c r="O167" s="265"/>
      <c r="P167" s="249">
        <f>Données!AA167</f>
        <v>55</v>
      </c>
      <c r="Q167" s="284">
        <f>Données!AB167</f>
        <v>53</v>
      </c>
      <c r="R167" s="236">
        <f t="shared" si="30"/>
        <v>62.95</v>
      </c>
      <c r="S167" s="288">
        <f t="shared" si="31"/>
        <v>0.18406432748538012</v>
      </c>
      <c r="T167" s="273">
        <f t="shared" si="32"/>
        <v>46.579141104294457</v>
      </c>
      <c r="U167" s="273">
        <f t="shared" si="35"/>
        <v>16.370858895705545</v>
      </c>
      <c r="V167" s="287">
        <f t="shared" si="36"/>
        <v>-69823</v>
      </c>
      <c r="W167" s="340"/>
      <c r="X167" s="236">
        <f t="shared" si="37"/>
        <v>-33907.418397626105</v>
      </c>
      <c r="Y167" s="253">
        <f t="shared" si="38"/>
        <v>-35915.581602373895</v>
      </c>
    </row>
    <row r="168" spans="1:25" x14ac:dyDescent="0.25">
      <c r="A168" s="111">
        <f>Données!A168</f>
        <v>5683</v>
      </c>
      <c r="B168" s="119" t="str">
        <f>Données!B168</f>
        <v>Prévonloup</v>
      </c>
      <c r="C168" s="252">
        <f>Données!C168</f>
        <v>249</v>
      </c>
      <c r="D168" s="265"/>
      <c r="E168" s="249">
        <f>Données!X168</f>
        <v>181</v>
      </c>
      <c r="F168" s="286">
        <f t="shared" si="26"/>
        <v>0.7269076305220884</v>
      </c>
      <c r="G168" s="265">
        <f t="shared" si="27"/>
        <v>190.37997229064038</v>
      </c>
      <c r="H168" s="273">
        <f t="shared" si="33"/>
        <v>0</v>
      </c>
      <c r="I168" s="287">
        <f t="shared" si="34"/>
        <v>0</v>
      </c>
      <c r="J168" s="265"/>
      <c r="K168" s="274">
        <f>Données!Y168</f>
        <v>249</v>
      </c>
      <c r="L168" s="441">
        <f>Données!Z168</f>
        <v>5.0000000000000001E-3</v>
      </c>
      <c r="M168" s="265">
        <f t="shared" si="28"/>
        <v>2.9322453016815038</v>
      </c>
      <c r="N168" s="287">
        <f t="shared" si="29"/>
        <v>-730</v>
      </c>
      <c r="O168" s="265"/>
      <c r="P168" s="249">
        <f>Données!AA168</f>
        <v>35</v>
      </c>
      <c r="Q168" s="284">
        <f>Données!AB168</f>
        <v>35</v>
      </c>
      <c r="R168" s="236">
        <f t="shared" si="30"/>
        <v>40.25</v>
      </c>
      <c r="S168" s="288">
        <f t="shared" si="31"/>
        <v>0.16164658634538154</v>
      </c>
      <c r="T168" s="273">
        <f t="shared" si="32"/>
        <v>33.912883435582806</v>
      </c>
      <c r="U168" s="273">
        <f t="shared" si="35"/>
        <v>6.3371165644171938</v>
      </c>
      <c r="V168" s="287">
        <f t="shared" si="36"/>
        <v>-27028</v>
      </c>
      <c r="W168" s="340"/>
      <c r="X168" s="236">
        <f t="shared" si="37"/>
        <v>-22391.691394658752</v>
      </c>
      <c r="Y168" s="253">
        <f t="shared" si="38"/>
        <v>-4636.308605341248</v>
      </c>
    </row>
    <row r="169" spans="1:25" x14ac:dyDescent="0.25">
      <c r="A169" s="111">
        <f>Données!A169</f>
        <v>5684</v>
      </c>
      <c r="B169" s="119" t="str">
        <f>Données!B169</f>
        <v>Rossenges</v>
      </c>
      <c r="C169" s="252">
        <f>Données!C169</f>
        <v>82</v>
      </c>
      <c r="D169" s="265"/>
      <c r="E169" s="249">
        <f>Données!X169</f>
        <v>106</v>
      </c>
      <c r="F169" s="286">
        <f t="shared" si="26"/>
        <v>1.2926829268292683</v>
      </c>
      <c r="G169" s="265">
        <f t="shared" si="27"/>
        <v>62.695412561576354</v>
      </c>
      <c r="H169" s="273">
        <f t="shared" si="33"/>
        <v>43.304587438423646</v>
      </c>
      <c r="I169" s="287">
        <f t="shared" si="34"/>
        <v>-4617</v>
      </c>
      <c r="J169" s="265"/>
      <c r="K169" s="274">
        <f>Données!Y169</f>
        <v>0</v>
      </c>
      <c r="L169" s="441">
        <f>Données!Z169</f>
        <v>6.3E-2</v>
      </c>
      <c r="M169" s="265">
        <f t="shared" si="28"/>
        <v>36.946290801186947</v>
      </c>
      <c r="N169" s="287">
        <f t="shared" si="29"/>
        <v>0</v>
      </c>
      <c r="O169" s="265"/>
      <c r="P169" s="249">
        <f>Données!AA169</f>
        <v>7</v>
      </c>
      <c r="Q169" s="284">
        <f>Données!AB169</f>
        <v>7</v>
      </c>
      <c r="R169" s="236">
        <f t="shared" si="30"/>
        <v>8.0500000000000007</v>
      </c>
      <c r="S169" s="288">
        <f t="shared" si="31"/>
        <v>9.8170731707317077E-2</v>
      </c>
      <c r="T169" s="273">
        <f t="shared" si="32"/>
        <v>11.168098159509197</v>
      </c>
      <c r="U169" s="273">
        <f t="shared" si="35"/>
        <v>0</v>
      </c>
      <c r="V169" s="287">
        <f t="shared" si="36"/>
        <v>0</v>
      </c>
      <c r="W169" s="340"/>
      <c r="X169" s="236">
        <f t="shared" si="37"/>
        <v>0</v>
      </c>
      <c r="Y169" s="253">
        <f t="shared" si="38"/>
        <v>0</v>
      </c>
    </row>
    <row r="170" spans="1:25" x14ac:dyDescent="0.25">
      <c r="A170" s="111">
        <f>Données!A170</f>
        <v>5688</v>
      </c>
      <c r="B170" s="119" t="str">
        <f>Données!B170</f>
        <v>Syens</v>
      </c>
      <c r="C170" s="252">
        <f>Données!C170</f>
        <v>144</v>
      </c>
      <c r="D170" s="265"/>
      <c r="E170" s="249">
        <f>Données!X170</f>
        <v>251</v>
      </c>
      <c r="F170" s="286">
        <f t="shared" si="26"/>
        <v>1.7430555555555556</v>
      </c>
      <c r="G170" s="265">
        <f t="shared" si="27"/>
        <v>110.09926108374384</v>
      </c>
      <c r="H170" s="273">
        <f t="shared" si="33"/>
        <v>140.90073891625616</v>
      </c>
      <c r="I170" s="287">
        <f t="shared" si="34"/>
        <v>-15024</v>
      </c>
      <c r="J170" s="265"/>
      <c r="K170" s="274">
        <f>Données!Y170</f>
        <v>0</v>
      </c>
      <c r="L170" s="441">
        <f>Données!Z170</f>
        <v>0.21199999999999999</v>
      </c>
      <c r="M170" s="265">
        <f t="shared" si="28"/>
        <v>124.32720079129575</v>
      </c>
      <c r="N170" s="287">
        <f t="shared" si="29"/>
        <v>0</v>
      </c>
      <c r="O170" s="265"/>
      <c r="P170" s="249">
        <f>Données!AA170</f>
        <v>18</v>
      </c>
      <c r="Q170" s="284">
        <f>Données!AB170</f>
        <v>18</v>
      </c>
      <c r="R170" s="236">
        <f t="shared" si="30"/>
        <v>20.7</v>
      </c>
      <c r="S170" s="288">
        <f t="shared" si="31"/>
        <v>0.14374999999999999</v>
      </c>
      <c r="T170" s="273">
        <f t="shared" si="32"/>
        <v>19.612269938650297</v>
      </c>
      <c r="U170" s="273">
        <f t="shared" si="35"/>
        <v>1.0877300613497027</v>
      </c>
      <c r="V170" s="287">
        <f t="shared" si="36"/>
        <v>-4639</v>
      </c>
      <c r="W170" s="340"/>
      <c r="X170" s="236">
        <f t="shared" si="37"/>
        <v>-4639</v>
      </c>
      <c r="Y170" s="253">
        <f t="shared" si="38"/>
        <v>0</v>
      </c>
    </row>
    <row r="171" spans="1:25" x14ac:dyDescent="0.25">
      <c r="A171" s="111">
        <f>Données!A171</f>
        <v>5690</v>
      </c>
      <c r="B171" s="119" t="str">
        <f>Données!B171</f>
        <v>Villars-le-Comte</v>
      </c>
      <c r="C171" s="252">
        <f>Données!C171</f>
        <v>129</v>
      </c>
      <c r="D171" s="265"/>
      <c r="E171" s="249">
        <f>Données!X171</f>
        <v>419</v>
      </c>
      <c r="F171" s="286">
        <f t="shared" si="26"/>
        <v>3.248062015503876</v>
      </c>
      <c r="G171" s="265">
        <f t="shared" si="27"/>
        <v>98.630588054187186</v>
      </c>
      <c r="H171" s="273">
        <f t="shared" si="33"/>
        <v>320.36941194581283</v>
      </c>
      <c r="I171" s="287">
        <f t="shared" si="34"/>
        <v>-34160</v>
      </c>
      <c r="J171" s="265"/>
      <c r="K171" s="274">
        <f>Données!Y171</f>
        <v>124</v>
      </c>
      <c r="L171" s="441">
        <f>Données!Z171</f>
        <v>4.2000000000000003E-2</v>
      </c>
      <c r="M171" s="265">
        <f t="shared" si="28"/>
        <v>24.630860534124633</v>
      </c>
      <c r="N171" s="287">
        <f t="shared" si="29"/>
        <v>-3054</v>
      </c>
      <c r="O171" s="265"/>
      <c r="P171" s="249">
        <f>Données!AA171</f>
        <v>14</v>
      </c>
      <c r="Q171" s="284">
        <f>Données!AB171</f>
        <v>14</v>
      </c>
      <c r="R171" s="236">
        <f t="shared" si="30"/>
        <v>16.100000000000001</v>
      </c>
      <c r="S171" s="288">
        <f t="shared" si="31"/>
        <v>0.1248062015503876</v>
      </c>
      <c r="T171" s="273">
        <f t="shared" si="32"/>
        <v>17.569325153374226</v>
      </c>
      <c r="U171" s="273">
        <f t="shared" si="35"/>
        <v>0</v>
      </c>
      <c r="V171" s="287">
        <f t="shared" si="36"/>
        <v>0</v>
      </c>
      <c r="W171" s="340"/>
      <c r="X171" s="236">
        <f t="shared" si="37"/>
        <v>0</v>
      </c>
      <c r="Y171" s="253">
        <f t="shared" si="38"/>
        <v>0</v>
      </c>
    </row>
    <row r="172" spans="1:25" x14ac:dyDescent="0.25">
      <c r="A172" s="111">
        <f>Données!A172</f>
        <v>5692</v>
      </c>
      <c r="B172" s="119" t="str">
        <f>Données!B172</f>
        <v>Vucherens</v>
      </c>
      <c r="C172" s="252">
        <f>Données!C172</f>
        <v>634</v>
      </c>
      <c r="D172" s="265"/>
      <c r="E172" s="249">
        <f>Données!X172</f>
        <v>323</v>
      </c>
      <c r="F172" s="286">
        <f t="shared" si="26"/>
        <v>0.50946372239747639</v>
      </c>
      <c r="G172" s="265">
        <f t="shared" si="27"/>
        <v>484.74258004926111</v>
      </c>
      <c r="H172" s="273">
        <f t="shared" si="33"/>
        <v>0</v>
      </c>
      <c r="I172" s="287">
        <f t="shared" si="34"/>
        <v>0</v>
      </c>
      <c r="J172" s="265"/>
      <c r="K172" s="274">
        <f>Données!Y172</f>
        <v>120</v>
      </c>
      <c r="L172" s="441">
        <f>Données!Z172</f>
        <v>0.14699999999999999</v>
      </c>
      <c r="M172" s="265">
        <f t="shared" si="28"/>
        <v>86.208011869436206</v>
      </c>
      <c r="N172" s="287">
        <f t="shared" si="29"/>
        <v>-10345</v>
      </c>
      <c r="O172" s="265"/>
      <c r="P172" s="249">
        <f>Données!AA172</f>
        <v>96</v>
      </c>
      <c r="Q172" s="284">
        <f>Données!AB172</f>
        <v>86</v>
      </c>
      <c r="R172" s="236">
        <f t="shared" si="30"/>
        <v>108.9</v>
      </c>
      <c r="S172" s="288">
        <f t="shared" si="31"/>
        <v>0.17176656151419559</v>
      </c>
      <c r="T172" s="273">
        <f t="shared" si="32"/>
        <v>86.348466257668676</v>
      </c>
      <c r="U172" s="273">
        <f t="shared" si="35"/>
        <v>22.55153374233133</v>
      </c>
      <c r="V172" s="287">
        <f t="shared" si="36"/>
        <v>-96184</v>
      </c>
      <c r="W172" s="340"/>
      <c r="X172" s="236">
        <f t="shared" si="37"/>
        <v>-55019.584569732935</v>
      </c>
      <c r="Y172" s="253">
        <f t="shared" si="38"/>
        <v>-41164.415430267065</v>
      </c>
    </row>
    <row r="173" spans="1:25" x14ac:dyDescent="0.25">
      <c r="A173" s="111">
        <f>Données!A173</f>
        <v>5693</v>
      </c>
      <c r="B173" s="119" t="str">
        <f>Données!B173</f>
        <v>Montanaire</v>
      </c>
      <c r="C173" s="252">
        <f>Données!C173</f>
        <v>2856</v>
      </c>
      <c r="D173" s="265"/>
      <c r="E173" s="249">
        <f>Données!X173</f>
        <v>3342</v>
      </c>
      <c r="F173" s="286">
        <f t="shared" si="26"/>
        <v>1.1701680672268908</v>
      </c>
      <c r="G173" s="265">
        <f t="shared" si="27"/>
        <v>2183.6353448275863</v>
      </c>
      <c r="H173" s="273">
        <f t="shared" si="33"/>
        <v>1158.3646551724137</v>
      </c>
      <c r="I173" s="287">
        <f t="shared" si="34"/>
        <v>-123513</v>
      </c>
      <c r="J173" s="265"/>
      <c r="K173" s="274">
        <f>Données!Y173</f>
        <v>2594</v>
      </c>
      <c r="L173" s="441">
        <f>Données!Z173</f>
        <v>6.7000000000000004E-2</v>
      </c>
      <c r="M173" s="265">
        <f t="shared" si="28"/>
        <v>39.292087042532152</v>
      </c>
      <c r="N173" s="287">
        <f t="shared" si="29"/>
        <v>-101924</v>
      </c>
      <c r="O173" s="265"/>
      <c r="P173" s="249">
        <f>Données!AA173</f>
        <v>387</v>
      </c>
      <c r="Q173" s="284">
        <f>Données!AB173</f>
        <v>261</v>
      </c>
      <c r="R173" s="236">
        <f t="shared" si="30"/>
        <v>426.15</v>
      </c>
      <c r="S173" s="288">
        <f t="shared" si="31"/>
        <v>0.14921218487394958</v>
      </c>
      <c r="T173" s="273">
        <f t="shared" si="32"/>
        <v>388.97668711656422</v>
      </c>
      <c r="U173" s="273">
        <f t="shared" si="35"/>
        <v>37.173312883435756</v>
      </c>
      <c r="V173" s="287">
        <f t="shared" si="36"/>
        <v>-158547</v>
      </c>
      <c r="W173" s="340"/>
      <c r="X173" s="236">
        <f t="shared" si="37"/>
        <v>-158547</v>
      </c>
      <c r="Y173" s="253">
        <f t="shared" si="38"/>
        <v>0</v>
      </c>
    </row>
    <row r="174" spans="1:25" x14ac:dyDescent="0.25">
      <c r="A174" s="111">
        <f>Données!A174</f>
        <v>5701</v>
      </c>
      <c r="B174" s="119" t="str">
        <f>Données!B174</f>
        <v>Arnex-sur-Nyon</v>
      </c>
      <c r="C174" s="252">
        <f>Données!C174</f>
        <v>274</v>
      </c>
      <c r="D174" s="265"/>
      <c r="E174" s="249">
        <f>Données!X174</f>
        <v>208</v>
      </c>
      <c r="F174" s="286">
        <f t="shared" si="26"/>
        <v>0.75912408759124084</v>
      </c>
      <c r="G174" s="265">
        <f t="shared" si="27"/>
        <v>209.49442733990148</v>
      </c>
      <c r="H174" s="273">
        <f t="shared" si="33"/>
        <v>0</v>
      </c>
      <c r="I174" s="287">
        <f t="shared" si="34"/>
        <v>0</v>
      </c>
      <c r="J174" s="265"/>
      <c r="K174" s="274">
        <f>Données!Y174</f>
        <v>0</v>
      </c>
      <c r="L174" s="441">
        <f>Données!Z174</f>
        <v>2.9000000000000001E-2</v>
      </c>
      <c r="M174" s="265">
        <f t="shared" si="28"/>
        <v>17.007022749752721</v>
      </c>
      <c r="N174" s="287">
        <f t="shared" si="29"/>
        <v>0</v>
      </c>
      <c r="O174" s="265"/>
      <c r="P174" s="249">
        <f>Données!AA174</f>
        <v>14</v>
      </c>
      <c r="Q174" s="284">
        <f>Données!AB174</f>
        <v>5</v>
      </c>
      <c r="R174" s="236">
        <f t="shared" si="30"/>
        <v>14.75</v>
      </c>
      <c r="S174" s="288">
        <f t="shared" si="31"/>
        <v>5.3832116788321165E-2</v>
      </c>
      <c r="T174" s="273">
        <f t="shared" si="32"/>
        <v>37.317791411042926</v>
      </c>
      <c r="U174" s="273">
        <f t="shared" si="35"/>
        <v>0</v>
      </c>
      <c r="V174" s="287">
        <f t="shared" si="36"/>
        <v>0</v>
      </c>
      <c r="W174" s="340"/>
      <c r="X174" s="236">
        <f t="shared" si="37"/>
        <v>0</v>
      </c>
      <c r="Y174" s="253">
        <f t="shared" si="38"/>
        <v>0</v>
      </c>
    </row>
    <row r="175" spans="1:25" x14ac:dyDescent="0.25">
      <c r="A175" s="111">
        <f>Données!A175</f>
        <v>5702</v>
      </c>
      <c r="B175" s="119" t="str">
        <f>Données!B175</f>
        <v>Arzier-Le Muids</v>
      </c>
      <c r="C175" s="252">
        <f>Données!C175</f>
        <v>2999</v>
      </c>
      <c r="D175" s="265"/>
      <c r="E175" s="249">
        <f>Données!X175</f>
        <v>5165</v>
      </c>
      <c r="F175" s="286">
        <f t="shared" si="26"/>
        <v>1.7222407469156384</v>
      </c>
      <c r="G175" s="265">
        <f t="shared" si="27"/>
        <v>2292.9700277093598</v>
      </c>
      <c r="H175" s="273">
        <f t="shared" si="33"/>
        <v>2872.0299722906402</v>
      </c>
      <c r="I175" s="287">
        <f t="shared" si="34"/>
        <v>-306236</v>
      </c>
      <c r="J175" s="265"/>
      <c r="K175" s="274">
        <f>Données!Y175</f>
        <v>2428</v>
      </c>
      <c r="L175" s="441">
        <f>Données!Z175</f>
        <v>0.251</v>
      </c>
      <c r="M175" s="265">
        <f t="shared" si="28"/>
        <v>147.19871414441147</v>
      </c>
      <c r="N175" s="287">
        <f t="shared" si="29"/>
        <v>-357398</v>
      </c>
      <c r="O175" s="265"/>
      <c r="P175" s="249">
        <f>Données!AA175</f>
        <v>389</v>
      </c>
      <c r="Q175" s="284">
        <f>Données!AB175</f>
        <v>193</v>
      </c>
      <c r="R175" s="236">
        <f t="shared" si="30"/>
        <v>417.95</v>
      </c>
      <c r="S175" s="288">
        <f t="shared" si="31"/>
        <v>0.13936312104034679</v>
      </c>
      <c r="T175" s="273">
        <f t="shared" si="32"/>
        <v>408.45276073619613</v>
      </c>
      <c r="U175" s="273">
        <f t="shared" si="35"/>
        <v>9.4972392638038627</v>
      </c>
      <c r="V175" s="287">
        <f t="shared" si="36"/>
        <v>-40507</v>
      </c>
      <c r="W175" s="340"/>
      <c r="X175" s="236">
        <f t="shared" si="37"/>
        <v>-40507</v>
      </c>
      <c r="Y175" s="253">
        <f t="shared" si="38"/>
        <v>0</v>
      </c>
    </row>
    <row r="176" spans="1:25" x14ac:dyDescent="0.25">
      <c r="A176" s="111">
        <f>Données!A176</f>
        <v>5703</v>
      </c>
      <c r="B176" s="119" t="str">
        <f>Données!B176</f>
        <v>Bassins</v>
      </c>
      <c r="C176" s="252">
        <f>Données!C176</f>
        <v>1468</v>
      </c>
      <c r="D176" s="265"/>
      <c r="E176" s="249">
        <f>Données!X176</f>
        <v>2078</v>
      </c>
      <c r="F176" s="286">
        <f t="shared" si="26"/>
        <v>1.4155313351498637</v>
      </c>
      <c r="G176" s="265">
        <f t="shared" si="27"/>
        <v>1122.4008004926109</v>
      </c>
      <c r="H176" s="273">
        <f t="shared" si="33"/>
        <v>955.59919950738913</v>
      </c>
      <c r="I176" s="287">
        <f t="shared" si="34"/>
        <v>-101893</v>
      </c>
      <c r="J176" s="265"/>
      <c r="K176" s="274">
        <f>Données!Y176</f>
        <v>1166</v>
      </c>
      <c r="L176" s="441">
        <f>Données!Z176</f>
        <v>0.20699999999999999</v>
      </c>
      <c r="M176" s="265">
        <f t="shared" si="28"/>
        <v>121.39495548961423</v>
      </c>
      <c r="N176" s="287">
        <f t="shared" si="29"/>
        <v>-141547</v>
      </c>
      <c r="O176" s="265"/>
      <c r="P176" s="249">
        <f>Données!AA176</f>
        <v>156</v>
      </c>
      <c r="Q176" s="284">
        <f>Données!AB176</f>
        <v>55</v>
      </c>
      <c r="R176" s="236">
        <f t="shared" si="30"/>
        <v>164.25</v>
      </c>
      <c r="S176" s="288">
        <f t="shared" si="31"/>
        <v>0.11188692098092642</v>
      </c>
      <c r="T176" s="273">
        <f t="shared" si="32"/>
        <v>199.93619631901831</v>
      </c>
      <c r="U176" s="273">
        <f t="shared" si="35"/>
        <v>0</v>
      </c>
      <c r="V176" s="287">
        <f t="shared" si="36"/>
        <v>0</v>
      </c>
      <c r="W176" s="340"/>
      <c r="X176" s="236">
        <f t="shared" si="37"/>
        <v>0</v>
      </c>
      <c r="Y176" s="253">
        <f t="shared" si="38"/>
        <v>0</v>
      </c>
    </row>
    <row r="177" spans="1:25" x14ac:dyDescent="0.25">
      <c r="A177" s="111">
        <f>Données!A177</f>
        <v>5704</v>
      </c>
      <c r="B177" s="119" t="str">
        <f>Données!B177</f>
        <v>Begnins</v>
      </c>
      <c r="C177" s="252">
        <f>Données!C177</f>
        <v>2047</v>
      </c>
      <c r="D177" s="265"/>
      <c r="E177" s="249">
        <f>Données!X177</f>
        <v>478</v>
      </c>
      <c r="F177" s="286">
        <f t="shared" si="26"/>
        <v>0.2335124572545188</v>
      </c>
      <c r="G177" s="265">
        <f t="shared" si="27"/>
        <v>1565.0915794334976</v>
      </c>
      <c r="H177" s="273">
        <f t="shared" si="33"/>
        <v>0</v>
      </c>
      <c r="I177" s="287">
        <f t="shared" si="34"/>
        <v>0</v>
      </c>
      <c r="J177" s="265"/>
      <c r="K177" s="274">
        <f>Données!Y177</f>
        <v>0</v>
      </c>
      <c r="L177" s="441">
        <f>Données!Z177</f>
        <v>0.126</v>
      </c>
      <c r="M177" s="265">
        <f t="shared" si="28"/>
        <v>73.892581602373895</v>
      </c>
      <c r="N177" s="287">
        <f t="shared" si="29"/>
        <v>0</v>
      </c>
      <c r="O177" s="265"/>
      <c r="P177" s="249">
        <f>Données!AA177</f>
        <v>181</v>
      </c>
      <c r="Q177" s="284">
        <f>Données!AB177</f>
        <v>45</v>
      </c>
      <c r="R177" s="236">
        <f t="shared" si="30"/>
        <v>187.75</v>
      </c>
      <c r="S177" s="288">
        <f t="shared" si="31"/>
        <v>9.1719589643380561E-2</v>
      </c>
      <c r="T177" s="273">
        <f t="shared" si="32"/>
        <v>278.79386503067474</v>
      </c>
      <c r="U177" s="273">
        <f t="shared" si="35"/>
        <v>0</v>
      </c>
      <c r="V177" s="287">
        <f t="shared" si="36"/>
        <v>0</v>
      </c>
      <c r="W177" s="340"/>
      <c r="X177" s="236">
        <f t="shared" si="37"/>
        <v>0</v>
      </c>
      <c r="Y177" s="253">
        <f t="shared" si="38"/>
        <v>0</v>
      </c>
    </row>
    <row r="178" spans="1:25" x14ac:dyDescent="0.25">
      <c r="A178" s="111">
        <f>Données!A178</f>
        <v>5705</v>
      </c>
      <c r="B178" s="119" t="str">
        <f>Données!B178</f>
        <v>Bogis-Bossey</v>
      </c>
      <c r="C178" s="252">
        <f>Données!C178</f>
        <v>961</v>
      </c>
      <c r="D178" s="265"/>
      <c r="E178" s="249">
        <f>Données!X178</f>
        <v>242</v>
      </c>
      <c r="F178" s="286">
        <f t="shared" si="26"/>
        <v>0.2518210197710718</v>
      </c>
      <c r="G178" s="265">
        <f t="shared" si="27"/>
        <v>734.75965209359606</v>
      </c>
      <c r="H178" s="273">
        <f t="shared" si="33"/>
        <v>0</v>
      </c>
      <c r="I178" s="287">
        <f t="shared" si="34"/>
        <v>0</v>
      </c>
      <c r="J178" s="265"/>
      <c r="K178" s="274">
        <f>Données!Y178</f>
        <v>0</v>
      </c>
      <c r="L178" s="441">
        <f>Données!Z178</f>
        <v>8.9999999999999993E-3</v>
      </c>
      <c r="M178" s="265">
        <f t="shared" si="28"/>
        <v>5.2780415430267063</v>
      </c>
      <c r="N178" s="287">
        <f t="shared" si="29"/>
        <v>0</v>
      </c>
      <c r="O178" s="265"/>
      <c r="P178" s="249">
        <f>Données!AA178</f>
        <v>104</v>
      </c>
      <c r="Q178" s="284">
        <f>Données!AB178</f>
        <v>57</v>
      </c>
      <c r="R178" s="236">
        <f t="shared" si="30"/>
        <v>112.55</v>
      </c>
      <c r="S178" s="288">
        <f t="shared" si="31"/>
        <v>0.11711758584807491</v>
      </c>
      <c r="T178" s="273">
        <f t="shared" si="32"/>
        <v>130.88466257668705</v>
      </c>
      <c r="U178" s="273">
        <f t="shared" si="35"/>
        <v>0</v>
      </c>
      <c r="V178" s="287">
        <f t="shared" si="36"/>
        <v>0</v>
      </c>
      <c r="W178" s="340"/>
      <c r="X178" s="236">
        <f t="shared" si="37"/>
        <v>0</v>
      </c>
      <c r="Y178" s="253">
        <f t="shared" si="38"/>
        <v>0</v>
      </c>
    </row>
    <row r="179" spans="1:25" x14ac:dyDescent="0.25">
      <c r="A179" s="111">
        <f>Données!A179</f>
        <v>5706</v>
      </c>
      <c r="B179" s="119" t="str">
        <f>Données!B179</f>
        <v>Borex</v>
      </c>
      <c r="C179" s="252">
        <f>Données!C179</f>
        <v>1168</v>
      </c>
      <c r="D179" s="265"/>
      <c r="E179" s="249">
        <f>Données!X179</f>
        <v>196</v>
      </c>
      <c r="F179" s="286">
        <f t="shared" si="26"/>
        <v>0.1678082191780822</v>
      </c>
      <c r="G179" s="265">
        <f t="shared" si="27"/>
        <v>893.02733990147783</v>
      </c>
      <c r="H179" s="273">
        <f t="shared" si="33"/>
        <v>0</v>
      </c>
      <c r="I179" s="287">
        <f t="shared" si="34"/>
        <v>0</v>
      </c>
      <c r="J179" s="265"/>
      <c r="K179" s="274">
        <f>Données!Y179</f>
        <v>0</v>
      </c>
      <c r="L179" s="441">
        <f>Données!Z179</f>
        <v>0.01</v>
      </c>
      <c r="M179" s="265">
        <f t="shared" si="28"/>
        <v>5.8644906033630075</v>
      </c>
      <c r="N179" s="287">
        <f t="shared" si="29"/>
        <v>0</v>
      </c>
      <c r="O179" s="265"/>
      <c r="P179" s="249">
        <f>Données!AA179</f>
        <v>132</v>
      </c>
      <c r="Q179" s="284">
        <f>Données!AB179</f>
        <v>61</v>
      </c>
      <c r="R179" s="236">
        <f t="shared" si="30"/>
        <v>141.15</v>
      </c>
      <c r="S179" s="288">
        <f t="shared" si="31"/>
        <v>0.12084760273972603</v>
      </c>
      <c r="T179" s="273">
        <f t="shared" si="32"/>
        <v>159.07730061349685</v>
      </c>
      <c r="U179" s="273">
        <f t="shared" si="35"/>
        <v>0</v>
      </c>
      <c r="V179" s="287">
        <f t="shared" si="36"/>
        <v>0</v>
      </c>
      <c r="W179" s="340"/>
      <c r="X179" s="236">
        <f t="shared" si="37"/>
        <v>0</v>
      </c>
      <c r="Y179" s="253">
        <f t="shared" si="38"/>
        <v>0</v>
      </c>
    </row>
    <row r="180" spans="1:25" x14ac:dyDescent="0.25">
      <c r="A180" s="111">
        <f>Données!A180</f>
        <v>5707</v>
      </c>
      <c r="B180" s="119" t="str">
        <f>Données!B180</f>
        <v>Chavannes-de-Bogis</v>
      </c>
      <c r="C180" s="252">
        <f>Données!C180</f>
        <v>1423</v>
      </c>
      <c r="D180" s="265"/>
      <c r="E180" s="249">
        <f>Données!X180</f>
        <v>274</v>
      </c>
      <c r="F180" s="286">
        <f t="shared" si="26"/>
        <v>0.19255094869992972</v>
      </c>
      <c r="G180" s="265">
        <f t="shared" si="27"/>
        <v>1087.9947814039408</v>
      </c>
      <c r="H180" s="273">
        <f t="shared" si="33"/>
        <v>0</v>
      </c>
      <c r="I180" s="287">
        <f t="shared" si="34"/>
        <v>0</v>
      </c>
      <c r="J180" s="265"/>
      <c r="K180" s="274">
        <f>Données!Y180</f>
        <v>0</v>
      </c>
      <c r="L180" s="441">
        <f>Données!Z180</f>
        <v>0.01</v>
      </c>
      <c r="M180" s="265">
        <f t="shared" si="28"/>
        <v>5.8644906033630075</v>
      </c>
      <c r="N180" s="287">
        <f t="shared" si="29"/>
        <v>0</v>
      </c>
      <c r="O180" s="265"/>
      <c r="P180" s="249">
        <f>Données!AA180</f>
        <v>172</v>
      </c>
      <c r="Q180" s="284">
        <f>Données!AB180</f>
        <v>86</v>
      </c>
      <c r="R180" s="236">
        <f t="shared" si="30"/>
        <v>184.9</v>
      </c>
      <c r="S180" s="288">
        <f t="shared" si="31"/>
        <v>0.12993675333801827</v>
      </c>
      <c r="T180" s="273">
        <f t="shared" si="32"/>
        <v>193.80736196319009</v>
      </c>
      <c r="U180" s="273">
        <f t="shared" si="35"/>
        <v>0</v>
      </c>
      <c r="V180" s="287">
        <f t="shared" si="36"/>
        <v>0</v>
      </c>
      <c r="W180" s="340"/>
      <c r="X180" s="236">
        <f t="shared" si="37"/>
        <v>0</v>
      </c>
      <c r="Y180" s="253">
        <f t="shared" si="38"/>
        <v>0</v>
      </c>
    </row>
    <row r="181" spans="1:25" x14ac:dyDescent="0.25">
      <c r="A181" s="111">
        <f>Données!A181</f>
        <v>5708</v>
      </c>
      <c r="B181" s="119" t="str">
        <f>Données!B181</f>
        <v>Chavannes-des-Bois</v>
      </c>
      <c r="C181" s="252">
        <f>Données!C181</f>
        <v>983</v>
      </c>
      <c r="D181" s="265"/>
      <c r="E181" s="249">
        <f>Données!X181</f>
        <v>212</v>
      </c>
      <c r="F181" s="286">
        <f t="shared" si="26"/>
        <v>0.21566632756866735</v>
      </c>
      <c r="G181" s="265">
        <f t="shared" si="27"/>
        <v>751.58037253694579</v>
      </c>
      <c r="H181" s="273">
        <f t="shared" si="33"/>
        <v>0</v>
      </c>
      <c r="I181" s="287">
        <f t="shared" si="34"/>
        <v>0</v>
      </c>
      <c r="J181" s="265"/>
      <c r="K181" s="274">
        <f>Données!Y181</f>
        <v>0</v>
      </c>
      <c r="L181" s="441">
        <f>Données!Z181</f>
        <v>5.0000000000000001E-3</v>
      </c>
      <c r="M181" s="265">
        <f t="shared" si="28"/>
        <v>2.9322453016815038</v>
      </c>
      <c r="N181" s="287">
        <f t="shared" si="29"/>
        <v>0</v>
      </c>
      <c r="O181" s="265"/>
      <c r="P181" s="249">
        <f>Données!AA181</f>
        <v>105</v>
      </c>
      <c r="Q181" s="284">
        <f>Données!AB181</f>
        <v>105</v>
      </c>
      <c r="R181" s="236">
        <f t="shared" si="30"/>
        <v>120.75</v>
      </c>
      <c r="S181" s="288">
        <f t="shared" si="31"/>
        <v>0.1228382502543235</v>
      </c>
      <c r="T181" s="273">
        <f t="shared" si="32"/>
        <v>133.88098159509195</v>
      </c>
      <c r="U181" s="273">
        <f t="shared" si="35"/>
        <v>0</v>
      </c>
      <c r="V181" s="287">
        <f t="shared" si="36"/>
        <v>0</v>
      </c>
      <c r="W181" s="340"/>
      <c r="X181" s="236">
        <f t="shared" si="37"/>
        <v>0</v>
      </c>
      <c r="Y181" s="253">
        <f t="shared" si="38"/>
        <v>0</v>
      </c>
    </row>
    <row r="182" spans="1:25" x14ac:dyDescent="0.25">
      <c r="A182" s="111">
        <f>Données!A182</f>
        <v>5709</v>
      </c>
      <c r="B182" s="119" t="str">
        <f>Données!B182</f>
        <v>Chéserex</v>
      </c>
      <c r="C182" s="252">
        <f>Données!C182</f>
        <v>1272</v>
      </c>
      <c r="D182" s="265"/>
      <c r="E182" s="249">
        <f>Données!X182</f>
        <v>1043</v>
      </c>
      <c r="F182" s="286">
        <f t="shared" si="26"/>
        <v>0.81996855345911945</v>
      </c>
      <c r="G182" s="265">
        <f t="shared" si="27"/>
        <v>972.54347290640396</v>
      </c>
      <c r="H182" s="273">
        <f t="shared" si="33"/>
        <v>70.456527093596037</v>
      </c>
      <c r="I182" s="287">
        <f t="shared" si="34"/>
        <v>-7513</v>
      </c>
      <c r="J182" s="265"/>
      <c r="K182" s="274">
        <f>Données!Y182</f>
        <v>0</v>
      </c>
      <c r="L182" s="441">
        <f>Données!Z182</f>
        <v>0.22800000000000001</v>
      </c>
      <c r="M182" s="265">
        <f t="shared" si="28"/>
        <v>133.71038575667657</v>
      </c>
      <c r="N182" s="287">
        <f t="shared" si="29"/>
        <v>0</v>
      </c>
      <c r="O182" s="265"/>
      <c r="P182" s="249">
        <f>Données!AA182</f>
        <v>145</v>
      </c>
      <c r="Q182" s="284">
        <f>Données!AB182</f>
        <v>61</v>
      </c>
      <c r="R182" s="236">
        <f t="shared" si="30"/>
        <v>154.15</v>
      </c>
      <c r="S182" s="288">
        <f t="shared" si="31"/>
        <v>0.121187106918239</v>
      </c>
      <c r="T182" s="273">
        <f t="shared" si="32"/>
        <v>173.24171779141096</v>
      </c>
      <c r="U182" s="273">
        <f t="shared" si="35"/>
        <v>0</v>
      </c>
      <c r="V182" s="287">
        <f t="shared" si="36"/>
        <v>0</v>
      </c>
      <c r="W182" s="340"/>
      <c r="X182" s="236">
        <f t="shared" si="37"/>
        <v>0</v>
      </c>
      <c r="Y182" s="253">
        <f t="shared" si="38"/>
        <v>0</v>
      </c>
    </row>
    <row r="183" spans="1:25" x14ac:dyDescent="0.25">
      <c r="A183" s="111">
        <f>Données!A183</f>
        <v>5710</v>
      </c>
      <c r="B183" s="119" t="str">
        <f>Données!B183</f>
        <v>Coinsins</v>
      </c>
      <c r="C183" s="252">
        <f>Données!C183</f>
        <v>510</v>
      </c>
      <c r="D183" s="265"/>
      <c r="E183" s="249">
        <f>Données!X183</f>
        <v>294</v>
      </c>
      <c r="F183" s="286">
        <f t="shared" si="26"/>
        <v>0.57647058823529407</v>
      </c>
      <c r="G183" s="265">
        <f t="shared" si="27"/>
        <v>389.93488300492612</v>
      </c>
      <c r="H183" s="273">
        <f t="shared" si="33"/>
        <v>0</v>
      </c>
      <c r="I183" s="287">
        <f t="shared" si="34"/>
        <v>0</v>
      </c>
      <c r="J183" s="265"/>
      <c r="K183" s="274">
        <f>Données!Y183</f>
        <v>0</v>
      </c>
      <c r="L183" s="441">
        <f>Données!Z183</f>
        <v>2.9000000000000001E-2</v>
      </c>
      <c r="M183" s="265">
        <f t="shared" si="28"/>
        <v>17.007022749752721</v>
      </c>
      <c r="N183" s="287">
        <f t="shared" si="29"/>
        <v>0</v>
      </c>
      <c r="O183" s="265"/>
      <c r="P183" s="249">
        <f>Données!AA183</f>
        <v>59</v>
      </c>
      <c r="Q183" s="284">
        <f>Données!AB183</f>
        <v>20</v>
      </c>
      <c r="R183" s="236">
        <f t="shared" si="30"/>
        <v>62</v>
      </c>
      <c r="S183" s="288">
        <f t="shared" si="31"/>
        <v>0.12156862745098039</v>
      </c>
      <c r="T183" s="273">
        <f t="shared" si="32"/>
        <v>69.460122699386474</v>
      </c>
      <c r="U183" s="273">
        <f t="shared" si="35"/>
        <v>0</v>
      </c>
      <c r="V183" s="287">
        <f t="shared" si="36"/>
        <v>0</v>
      </c>
      <c r="W183" s="340"/>
      <c r="X183" s="236">
        <f t="shared" si="37"/>
        <v>0</v>
      </c>
      <c r="Y183" s="253">
        <f t="shared" si="38"/>
        <v>0</v>
      </c>
    </row>
    <row r="184" spans="1:25" x14ac:dyDescent="0.25">
      <c r="A184" s="111">
        <f>Données!A184</f>
        <v>5711</v>
      </c>
      <c r="B184" s="119" t="str">
        <f>Données!B184</f>
        <v>Commugny</v>
      </c>
      <c r="C184" s="252">
        <f>Données!C184</f>
        <v>2968</v>
      </c>
      <c r="D184" s="265"/>
      <c r="E184" s="249">
        <f>Données!X184</f>
        <v>650</v>
      </c>
      <c r="F184" s="286">
        <f t="shared" si="26"/>
        <v>0.21900269541778974</v>
      </c>
      <c r="G184" s="265">
        <f t="shared" si="27"/>
        <v>2269.2681034482757</v>
      </c>
      <c r="H184" s="273">
        <f t="shared" si="33"/>
        <v>0</v>
      </c>
      <c r="I184" s="287">
        <f t="shared" si="34"/>
        <v>0</v>
      </c>
      <c r="J184" s="265"/>
      <c r="K184" s="274">
        <f>Données!Y184</f>
        <v>0</v>
      </c>
      <c r="L184" s="441">
        <f>Données!Z184</f>
        <v>8.0000000000000002E-3</v>
      </c>
      <c r="M184" s="265">
        <f t="shared" si="28"/>
        <v>4.6915924826904059</v>
      </c>
      <c r="N184" s="287">
        <f t="shared" si="29"/>
        <v>0</v>
      </c>
      <c r="O184" s="265"/>
      <c r="P184" s="249">
        <f>Données!AA184</f>
        <v>282</v>
      </c>
      <c r="Q184" s="284">
        <f>Données!AB184</f>
        <v>14</v>
      </c>
      <c r="R184" s="236">
        <f t="shared" si="30"/>
        <v>284.10000000000002</v>
      </c>
      <c r="S184" s="288">
        <f t="shared" si="31"/>
        <v>9.5721024258760112E-2</v>
      </c>
      <c r="T184" s="273">
        <f t="shared" si="32"/>
        <v>404.23067484662556</v>
      </c>
      <c r="U184" s="273">
        <f t="shared" si="35"/>
        <v>0</v>
      </c>
      <c r="V184" s="287">
        <f t="shared" si="36"/>
        <v>0</v>
      </c>
      <c r="W184" s="340"/>
      <c r="X184" s="236">
        <f t="shared" si="37"/>
        <v>0</v>
      </c>
      <c r="Y184" s="253">
        <f t="shared" si="38"/>
        <v>0</v>
      </c>
    </row>
    <row r="185" spans="1:25" x14ac:dyDescent="0.25">
      <c r="A185" s="111">
        <f>Données!A185</f>
        <v>5712</v>
      </c>
      <c r="B185" s="119" t="str">
        <f>Données!B185</f>
        <v>Coppet</v>
      </c>
      <c r="C185" s="252">
        <f>Données!C185</f>
        <v>3233</v>
      </c>
      <c r="D185" s="265"/>
      <c r="E185" s="249">
        <f>Données!X185</f>
        <v>184</v>
      </c>
      <c r="F185" s="286">
        <f t="shared" si="26"/>
        <v>5.6913083823074542E-2</v>
      </c>
      <c r="G185" s="265">
        <f t="shared" si="27"/>
        <v>2471.8813269704433</v>
      </c>
      <c r="H185" s="273">
        <f t="shared" si="33"/>
        <v>0</v>
      </c>
      <c r="I185" s="287">
        <f t="shared" si="34"/>
        <v>0</v>
      </c>
      <c r="J185" s="265"/>
      <c r="K185" s="274">
        <f>Données!Y185</f>
        <v>2</v>
      </c>
      <c r="L185" s="441">
        <f>Données!Z185</f>
        <v>3.5999999999999997E-2</v>
      </c>
      <c r="M185" s="265">
        <f t="shared" si="28"/>
        <v>21.112166172106825</v>
      </c>
      <c r="N185" s="287">
        <f t="shared" si="29"/>
        <v>-42</v>
      </c>
      <c r="O185" s="265"/>
      <c r="P185" s="249">
        <f>Données!AA185</f>
        <v>296</v>
      </c>
      <c r="Q185" s="284">
        <f>Données!AB185</f>
        <v>2</v>
      </c>
      <c r="R185" s="236">
        <f t="shared" si="30"/>
        <v>296.3</v>
      </c>
      <c r="S185" s="288">
        <f t="shared" si="31"/>
        <v>9.1648623569440146E-2</v>
      </c>
      <c r="T185" s="273">
        <f t="shared" si="32"/>
        <v>440.32269938650285</v>
      </c>
      <c r="U185" s="273">
        <f t="shared" si="35"/>
        <v>0</v>
      </c>
      <c r="V185" s="287">
        <f t="shared" si="36"/>
        <v>0</v>
      </c>
      <c r="W185" s="340"/>
      <c r="X185" s="236">
        <f t="shared" si="37"/>
        <v>0</v>
      </c>
      <c r="Y185" s="253">
        <f t="shared" si="38"/>
        <v>0</v>
      </c>
    </row>
    <row r="186" spans="1:25" x14ac:dyDescent="0.25">
      <c r="A186" s="111">
        <f>Données!A186</f>
        <v>5713</v>
      </c>
      <c r="B186" s="119" t="str">
        <f>Données!B186</f>
        <v>Crans</v>
      </c>
      <c r="C186" s="252">
        <f>Données!C186</f>
        <v>2483</v>
      </c>
      <c r="D186" s="265"/>
      <c r="E186" s="249">
        <f>Données!X186</f>
        <v>428</v>
      </c>
      <c r="F186" s="286">
        <f t="shared" si="26"/>
        <v>0.17237213048731373</v>
      </c>
      <c r="G186" s="265">
        <f t="shared" si="27"/>
        <v>1898.4476754926109</v>
      </c>
      <c r="H186" s="273">
        <f t="shared" si="33"/>
        <v>0</v>
      </c>
      <c r="I186" s="287">
        <f t="shared" si="34"/>
        <v>0</v>
      </c>
      <c r="J186" s="265"/>
      <c r="K186" s="274">
        <f>Données!Y186</f>
        <v>0</v>
      </c>
      <c r="L186" s="441">
        <f>Données!Z186</f>
        <v>3.5999999999999997E-2</v>
      </c>
      <c r="M186" s="265">
        <f t="shared" si="28"/>
        <v>21.112166172106825</v>
      </c>
      <c r="N186" s="287">
        <f t="shared" si="29"/>
        <v>0</v>
      </c>
      <c r="O186" s="265"/>
      <c r="P186" s="249">
        <f>Données!AA186</f>
        <v>250</v>
      </c>
      <c r="Q186" s="284">
        <f>Données!AB186</f>
        <v>125</v>
      </c>
      <c r="R186" s="236">
        <f t="shared" si="30"/>
        <v>268.75</v>
      </c>
      <c r="S186" s="288">
        <f t="shared" si="31"/>
        <v>0.10823600483286347</v>
      </c>
      <c r="T186" s="273">
        <f t="shared" si="32"/>
        <v>338.17546012269923</v>
      </c>
      <c r="U186" s="273">
        <f t="shared" si="35"/>
        <v>0</v>
      </c>
      <c r="V186" s="287">
        <f t="shared" si="36"/>
        <v>0</v>
      </c>
      <c r="W186" s="340"/>
      <c r="X186" s="236">
        <f t="shared" si="37"/>
        <v>0</v>
      </c>
      <c r="Y186" s="253">
        <f t="shared" si="38"/>
        <v>0</v>
      </c>
    </row>
    <row r="187" spans="1:25" x14ac:dyDescent="0.25">
      <c r="A187" s="111">
        <f>Données!A187</f>
        <v>5714</v>
      </c>
      <c r="B187" s="119" t="str">
        <f>Données!B187</f>
        <v>Crassier</v>
      </c>
      <c r="C187" s="252">
        <f>Données!C187</f>
        <v>1272</v>
      </c>
      <c r="D187" s="265"/>
      <c r="E187" s="249">
        <f>Données!X187</f>
        <v>202</v>
      </c>
      <c r="F187" s="286">
        <f t="shared" si="26"/>
        <v>0.15880503144654087</v>
      </c>
      <c r="G187" s="265">
        <f t="shared" si="27"/>
        <v>972.54347290640396</v>
      </c>
      <c r="H187" s="273">
        <f t="shared" si="33"/>
        <v>0</v>
      </c>
      <c r="I187" s="287">
        <f t="shared" si="34"/>
        <v>0</v>
      </c>
      <c r="J187" s="265"/>
      <c r="K187" s="274">
        <f>Données!Y187</f>
        <v>0</v>
      </c>
      <c r="L187" s="441">
        <f>Données!Z187</f>
        <v>1.6E-2</v>
      </c>
      <c r="M187" s="265">
        <f t="shared" si="28"/>
        <v>9.3831849653808117</v>
      </c>
      <c r="N187" s="287">
        <f t="shared" si="29"/>
        <v>0</v>
      </c>
      <c r="O187" s="265"/>
      <c r="P187" s="249">
        <f>Données!AA187</f>
        <v>149</v>
      </c>
      <c r="Q187" s="284">
        <f>Données!AB187</f>
        <v>27</v>
      </c>
      <c r="R187" s="236">
        <f t="shared" si="30"/>
        <v>153.05000000000001</v>
      </c>
      <c r="S187" s="288">
        <f t="shared" si="31"/>
        <v>0.12032232704402517</v>
      </c>
      <c r="T187" s="273">
        <f t="shared" si="32"/>
        <v>173.24171779141096</v>
      </c>
      <c r="U187" s="273">
        <f t="shared" si="35"/>
        <v>0</v>
      </c>
      <c r="V187" s="287">
        <f t="shared" si="36"/>
        <v>0</v>
      </c>
      <c r="W187" s="340"/>
      <c r="X187" s="236">
        <f t="shared" si="37"/>
        <v>0</v>
      </c>
      <c r="Y187" s="253">
        <f t="shared" si="38"/>
        <v>0</v>
      </c>
    </row>
    <row r="188" spans="1:25" x14ac:dyDescent="0.25">
      <c r="A188" s="111">
        <f>Données!A188</f>
        <v>5715</v>
      </c>
      <c r="B188" s="119" t="str">
        <f>Données!B188</f>
        <v>Duillier</v>
      </c>
      <c r="C188" s="252">
        <f>Données!C188</f>
        <v>1120</v>
      </c>
      <c r="D188" s="265"/>
      <c r="E188" s="249">
        <f>Données!X188</f>
        <v>405</v>
      </c>
      <c r="F188" s="286">
        <f t="shared" si="26"/>
        <v>0.36160714285714285</v>
      </c>
      <c r="G188" s="265">
        <f t="shared" si="27"/>
        <v>856.32758620689651</v>
      </c>
      <c r="H188" s="273">
        <f t="shared" si="33"/>
        <v>0</v>
      </c>
      <c r="I188" s="287">
        <f t="shared" si="34"/>
        <v>0</v>
      </c>
      <c r="J188" s="265"/>
      <c r="K188" s="274">
        <f>Données!Y188</f>
        <v>0</v>
      </c>
      <c r="L188" s="441">
        <f>Données!Z188</f>
        <v>1.7000000000000001E-2</v>
      </c>
      <c r="M188" s="265">
        <f t="shared" si="28"/>
        <v>9.969634025717113</v>
      </c>
      <c r="N188" s="287">
        <f t="shared" si="29"/>
        <v>0</v>
      </c>
      <c r="O188" s="265"/>
      <c r="P188" s="249">
        <f>Données!AA188</f>
        <v>140</v>
      </c>
      <c r="Q188" s="284">
        <f>Données!AB188</f>
        <v>75</v>
      </c>
      <c r="R188" s="236">
        <f t="shared" si="30"/>
        <v>151.25</v>
      </c>
      <c r="S188" s="288">
        <f t="shared" si="31"/>
        <v>0.13504464285714285</v>
      </c>
      <c r="T188" s="273">
        <f t="shared" si="32"/>
        <v>152.53987730061343</v>
      </c>
      <c r="U188" s="273">
        <f t="shared" si="35"/>
        <v>0</v>
      </c>
      <c r="V188" s="287">
        <f t="shared" si="36"/>
        <v>0</v>
      </c>
      <c r="W188" s="340"/>
      <c r="X188" s="236">
        <f t="shared" si="37"/>
        <v>0</v>
      </c>
      <c r="Y188" s="253">
        <f t="shared" si="38"/>
        <v>0</v>
      </c>
    </row>
    <row r="189" spans="1:25" x14ac:dyDescent="0.25">
      <c r="A189" s="111">
        <f>Données!A189</f>
        <v>5716</v>
      </c>
      <c r="B189" s="119" t="str">
        <f>Données!B189</f>
        <v>Eysins</v>
      </c>
      <c r="C189" s="252">
        <f>Données!C189</f>
        <v>1811</v>
      </c>
      <c r="D189" s="265"/>
      <c r="E189" s="249">
        <f>Données!X189</f>
        <v>236</v>
      </c>
      <c r="F189" s="286">
        <f t="shared" si="26"/>
        <v>0.13031474323578135</v>
      </c>
      <c r="G189" s="265">
        <f t="shared" si="27"/>
        <v>1384.6511237684729</v>
      </c>
      <c r="H189" s="273">
        <f t="shared" si="33"/>
        <v>0</v>
      </c>
      <c r="I189" s="287">
        <f t="shared" si="34"/>
        <v>0</v>
      </c>
      <c r="J189" s="265"/>
      <c r="K189" s="274">
        <f>Données!Y189</f>
        <v>0</v>
      </c>
      <c r="L189" s="441">
        <f>Données!Z189</f>
        <v>4.4999999999999998E-2</v>
      </c>
      <c r="M189" s="265">
        <f t="shared" si="28"/>
        <v>26.390207715133531</v>
      </c>
      <c r="N189" s="287">
        <f t="shared" si="29"/>
        <v>0</v>
      </c>
      <c r="O189" s="265"/>
      <c r="P189" s="249">
        <f>Données!AA189</f>
        <v>216</v>
      </c>
      <c r="Q189" s="284">
        <f>Données!AB189</f>
        <v>116</v>
      </c>
      <c r="R189" s="236">
        <f t="shared" si="30"/>
        <v>233.4</v>
      </c>
      <c r="S189" s="288">
        <f t="shared" si="31"/>
        <v>0.12887907233572612</v>
      </c>
      <c r="T189" s="273">
        <f t="shared" si="32"/>
        <v>246.65153374233117</v>
      </c>
      <c r="U189" s="273">
        <f t="shared" si="35"/>
        <v>0</v>
      </c>
      <c r="V189" s="287">
        <f t="shared" si="36"/>
        <v>0</v>
      </c>
      <c r="W189" s="340"/>
      <c r="X189" s="236">
        <f t="shared" si="37"/>
        <v>0</v>
      </c>
      <c r="Y189" s="253">
        <f t="shared" si="38"/>
        <v>0</v>
      </c>
    </row>
    <row r="190" spans="1:25" x14ac:dyDescent="0.25">
      <c r="A190" s="111">
        <f>Données!A190</f>
        <v>5717</v>
      </c>
      <c r="B190" s="119" t="str">
        <f>Données!B190</f>
        <v>Founex</v>
      </c>
      <c r="C190" s="252">
        <f>Données!C190</f>
        <v>3737</v>
      </c>
      <c r="D190" s="265"/>
      <c r="E190" s="249">
        <f>Données!X190</f>
        <v>476</v>
      </c>
      <c r="F190" s="286">
        <f t="shared" si="26"/>
        <v>0.12737489965212737</v>
      </c>
      <c r="G190" s="265">
        <f t="shared" si="27"/>
        <v>2857.2287407635467</v>
      </c>
      <c r="H190" s="273">
        <f t="shared" si="33"/>
        <v>0</v>
      </c>
      <c r="I190" s="287">
        <f t="shared" si="34"/>
        <v>0</v>
      </c>
      <c r="J190" s="265"/>
      <c r="K190" s="274">
        <f>Données!Y190</f>
        <v>0</v>
      </c>
      <c r="L190" s="441">
        <f>Données!Z190</f>
        <v>1.4E-2</v>
      </c>
      <c r="M190" s="265">
        <f t="shared" si="28"/>
        <v>8.2102868447082109</v>
      </c>
      <c r="N190" s="287">
        <f t="shared" si="29"/>
        <v>0</v>
      </c>
      <c r="O190" s="265"/>
      <c r="P190" s="249">
        <f>Données!AA190</f>
        <v>384</v>
      </c>
      <c r="Q190" s="284">
        <f>Données!AB190</f>
        <v>41</v>
      </c>
      <c r="R190" s="236">
        <f t="shared" si="30"/>
        <v>390.15</v>
      </c>
      <c r="S190" s="288">
        <f t="shared" si="31"/>
        <v>0.10440192667915439</v>
      </c>
      <c r="T190" s="273">
        <f t="shared" si="32"/>
        <v>508.96564417177888</v>
      </c>
      <c r="U190" s="273">
        <f t="shared" si="35"/>
        <v>0</v>
      </c>
      <c r="V190" s="287">
        <f t="shared" si="36"/>
        <v>0</v>
      </c>
      <c r="W190" s="340"/>
      <c r="X190" s="236">
        <f t="shared" si="37"/>
        <v>0</v>
      </c>
      <c r="Y190" s="253">
        <f t="shared" si="38"/>
        <v>0</v>
      </c>
    </row>
    <row r="191" spans="1:25" x14ac:dyDescent="0.25">
      <c r="A191" s="111">
        <f>Données!A191</f>
        <v>5718</v>
      </c>
      <c r="B191" s="119" t="str">
        <f>Données!B191</f>
        <v>Genolier</v>
      </c>
      <c r="C191" s="252">
        <f>Données!C191</f>
        <v>2071</v>
      </c>
      <c r="D191" s="265"/>
      <c r="E191" s="249">
        <f>Données!X191</f>
        <v>484</v>
      </c>
      <c r="F191" s="286">
        <f t="shared" si="26"/>
        <v>0.23370352486721391</v>
      </c>
      <c r="G191" s="265">
        <f t="shared" si="27"/>
        <v>1583.4414562807881</v>
      </c>
      <c r="H191" s="273">
        <f t="shared" si="33"/>
        <v>0</v>
      </c>
      <c r="I191" s="287">
        <f t="shared" si="34"/>
        <v>0</v>
      </c>
      <c r="J191" s="265"/>
      <c r="K191" s="274">
        <f>Données!Y191</f>
        <v>0</v>
      </c>
      <c r="L191" s="441">
        <f>Données!Z191</f>
        <v>7.2999999999999995E-2</v>
      </c>
      <c r="M191" s="265">
        <f t="shared" si="28"/>
        <v>42.81078140454995</v>
      </c>
      <c r="N191" s="287">
        <f t="shared" si="29"/>
        <v>0</v>
      </c>
      <c r="O191" s="265"/>
      <c r="P191" s="249">
        <f>Données!AA191</f>
        <v>237</v>
      </c>
      <c r="Q191" s="284">
        <f>Données!AB191</f>
        <v>94</v>
      </c>
      <c r="R191" s="236">
        <f t="shared" si="30"/>
        <v>251.1</v>
      </c>
      <c r="S191" s="288">
        <f t="shared" si="31"/>
        <v>0.12124577498792853</v>
      </c>
      <c r="T191" s="273">
        <f t="shared" si="32"/>
        <v>282.0625766871164</v>
      </c>
      <c r="U191" s="273">
        <f t="shared" si="35"/>
        <v>0</v>
      </c>
      <c r="V191" s="287">
        <f t="shared" si="36"/>
        <v>0</v>
      </c>
      <c r="W191" s="340"/>
      <c r="X191" s="236">
        <f t="shared" si="37"/>
        <v>0</v>
      </c>
      <c r="Y191" s="253">
        <f t="shared" si="38"/>
        <v>0</v>
      </c>
    </row>
    <row r="192" spans="1:25" x14ac:dyDescent="0.25">
      <c r="A192" s="111">
        <f>Données!A192</f>
        <v>5719</v>
      </c>
      <c r="B192" s="119" t="str">
        <f>Données!B192</f>
        <v>Gingins</v>
      </c>
      <c r="C192" s="252">
        <f>Données!C192</f>
        <v>1241</v>
      </c>
      <c r="D192" s="265"/>
      <c r="E192" s="249">
        <f>Données!X192</f>
        <v>1249</v>
      </c>
      <c r="F192" s="286">
        <f t="shared" si="26"/>
        <v>1.0064464141821112</v>
      </c>
      <c r="G192" s="265">
        <f t="shared" si="27"/>
        <v>948.84154864532024</v>
      </c>
      <c r="H192" s="273">
        <f t="shared" si="33"/>
        <v>300.15845135467976</v>
      </c>
      <c r="I192" s="287">
        <f t="shared" si="34"/>
        <v>-32005</v>
      </c>
      <c r="J192" s="265"/>
      <c r="K192" s="274">
        <f>Données!Y192</f>
        <v>2</v>
      </c>
      <c r="L192" s="441">
        <f>Données!Z192</f>
        <v>0.31900000000000001</v>
      </c>
      <c r="M192" s="265">
        <f t="shared" si="28"/>
        <v>187.07725024727992</v>
      </c>
      <c r="N192" s="287">
        <f t="shared" si="29"/>
        <v>-374</v>
      </c>
      <c r="O192" s="265"/>
      <c r="P192" s="249">
        <f>Données!AA192</f>
        <v>113</v>
      </c>
      <c r="Q192" s="284">
        <f>Données!AB192</f>
        <v>55</v>
      </c>
      <c r="R192" s="236">
        <f t="shared" si="30"/>
        <v>121.25</v>
      </c>
      <c r="S192" s="288">
        <f t="shared" si="31"/>
        <v>9.7703464947622887E-2</v>
      </c>
      <c r="T192" s="273">
        <f t="shared" si="32"/>
        <v>169.0196319018404</v>
      </c>
      <c r="U192" s="273">
        <f t="shared" si="35"/>
        <v>0</v>
      </c>
      <c r="V192" s="287">
        <f t="shared" si="36"/>
        <v>0</v>
      </c>
      <c r="W192" s="340"/>
      <c r="X192" s="236">
        <f t="shared" si="37"/>
        <v>0</v>
      </c>
      <c r="Y192" s="253">
        <f t="shared" si="38"/>
        <v>0</v>
      </c>
    </row>
    <row r="193" spans="1:25" x14ac:dyDescent="0.25">
      <c r="A193" s="111">
        <f>Données!A193</f>
        <v>5720</v>
      </c>
      <c r="B193" s="119" t="str">
        <f>Données!B193</f>
        <v>Givrins</v>
      </c>
      <c r="C193" s="252">
        <f>Données!C193</f>
        <v>1096</v>
      </c>
      <c r="D193" s="265"/>
      <c r="E193" s="249">
        <f>Données!X193</f>
        <v>394</v>
      </c>
      <c r="F193" s="286">
        <f t="shared" si="26"/>
        <v>0.35948905109489049</v>
      </c>
      <c r="G193" s="265">
        <f t="shared" si="27"/>
        <v>837.97770935960591</v>
      </c>
      <c r="H193" s="273">
        <f t="shared" si="33"/>
        <v>0</v>
      </c>
      <c r="I193" s="287">
        <f t="shared" si="34"/>
        <v>0</v>
      </c>
      <c r="J193" s="265"/>
      <c r="K193" s="274">
        <f>Données!Y193</f>
        <v>0</v>
      </c>
      <c r="L193" s="441">
        <f>Données!Z193</f>
        <v>0.248</v>
      </c>
      <c r="M193" s="265">
        <f t="shared" si="28"/>
        <v>145.43936696340256</v>
      </c>
      <c r="N193" s="287">
        <f t="shared" si="29"/>
        <v>0</v>
      </c>
      <c r="O193" s="265"/>
      <c r="P193" s="249">
        <f>Données!AA193</f>
        <v>115</v>
      </c>
      <c r="Q193" s="284">
        <f>Données!AB193</f>
        <v>18</v>
      </c>
      <c r="R193" s="236">
        <f t="shared" si="30"/>
        <v>117.7</v>
      </c>
      <c r="S193" s="288">
        <f t="shared" si="31"/>
        <v>0.10739051094890512</v>
      </c>
      <c r="T193" s="273">
        <f t="shared" si="32"/>
        <v>149.2711656441717</v>
      </c>
      <c r="U193" s="273">
        <f t="shared" si="35"/>
        <v>0</v>
      </c>
      <c r="V193" s="287">
        <f t="shared" si="36"/>
        <v>0</v>
      </c>
      <c r="W193" s="340"/>
      <c r="X193" s="236">
        <f t="shared" si="37"/>
        <v>0</v>
      </c>
      <c r="Y193" s="253">
        <f t="shared" si="38"/>
        <v>0</v>
      </c>
    </row>
    <row r="194" spans="1:25" x14ac:dyDescent="0.25">
      <c r="A194" s="111">
        <f>Données!A194</f>
        <v>5721</v>
      </c>
      <c r="B194" s="119" t="str">
        <f>Données!B194</f>
        <v>Gland</v>
      </c>
      <c r="C194" s="252">
        <f>Données!C194</f>
        <v>13978</v>
      </c>
      <c r="D194" s="265"/>
      <c r="E194" s="249">
        <f>Données!X194</f>
        <v>832</v>
      </c>
      <c r="F194" s="286">
        <f t="shared" si="26"/>
        <v>5.9522106166833594E-2</v>
      </c>
      <c r="G194" s="265">
        <f t="shared" si="27"/>
        <v>10687.274107142857</v>
      </c>
      <c r="H194" s="273">
        <f t="shared" si="33"/>
        <v>0</v>
      </c>
      <c r="I194" s="287">
        <f t="shared" si="34"/>
        <v>0</v>
      </c>
      <c r="J194" s="265"/>
      <c r="K194" s="274">
        <f>Données!Y194</f>
        <v>0</v>
      </c>
      <c r="L194" s="441">
        <f>Données!Z194</f>
        <v>2.8000000000000001E-2</v>
      </c>
      <c r="M194" s="265">
        <f t="shared" si="28"/>
        <v>16.420573689416422</v>
      </c>
      <c r="N194" s="287">
        <f t="shared" si="29"/>
        <v>0</v>
      </c>
      <c r="O194" s="265"/>
      <c r="P194" s="249">
        <f>Données!AA194</f>
        <v>1692</v>
      </c>
      <c r="Q194" s="284">
        <f>Données!AB194</f>
        <v>61</v>
      </c>
      <c r="R194" s="236">
        <f t="shared" si="30"/>
        <v>1701.15</v>
      </c>
      <c r="S194" s="288">
        <f t="shared" si="31"/>
        <v>0.12170196022320791</v>
      </c>
      <c r="T194" s="273">
        <f t="shared" si="32"/>
        <v>1903.752147239263</v>
      </c>
      <c r="U194" s="273">
        <f t="shared" si="35"/>
        <v>0</v>
      </c>
      <c r="V194" s="287">
        <f t="shared" si="36"/>
        <v>0</v>
      </c>
      <c r="W194" s="340"/>
      <c r="X194" s="236">
        <f t="shared" si="37"/>
        <v>0</v>
      </c>
      <c r="Y194" s="253">
        <f t="shared" si="38"/>
        <v>0</v>
      </c>
    </row>
    <row r="195" spans="1:25" x14ac:dyDescent="0.25">
      <c r="A195" s="111">
        <f>Données!A195</f>
        <v>5722</v>
      </c>
      <c r="B195" s="119" t="str">
        <f>Données!B195</f>
        <v>Grens</v>
      </c>
      <c r="C195" s="252">
        <f>Données!C195</f>
        <v>413</v>
      </c>
      <c r="D195" s="265"/>
      <c r="E195" s="249">
        <f>Données!X195</f>
        <v>255</v>
      </c>
      <c r="F195" s="286">
        <f t="shared" si="26"/>
        <v>0.61743341404358354</v>
      </c>
      <c r="G195" s="265">
        <f t="shared" si="27"/>
        <v>315.7707974137931</v>
      </c>
      <c r="H195" s="273">
        <f t="shared" si="33"/>
        <v>0</v>
      </c>
      <c r="I195" s="287">
        <f t="shared" si="34"/>
        <v>0</v>
      </c>
      <c r="J195" s="265"/>
      <c r="K195" s="274">
        <f>Données!Y195</f>
        <v>0</v>
      </c>
      <c r="L195" s="441">
        <f>Données!Z195</f>
        <v>5.0000000000000001E-3</v>
      </c>
      <c r="M195" s="265">
        <f t="shared" si="28"/>
        <v>2.9322453016815038</v>
      </c>
      <c r="N195" s="287">
        <f t="shared" si="29"/>
        <v>0</v>
      </c>
      <c r="O195" s="265"/>
      <c r="P195" s="249">
        <f>Données!AA195</f>
        <v>49</v>
      </c>
      <c r="Q195" s="284">
        <f>Données!AB195</f>
        <v>30</v>
      </c>
      <c r="R195" s="236">
        <f t="shared" si="30"/>
        <v>53.5</v>
      </c>
      <c r="S195" s="288">
        <f t="shared" si="31"/>
        <v>0.12953995157384987</v>
      </c>
      <c r="T195" s="273">
        <f t="shared" si="32"/>
        <v>56.249079754601198</v>
      </c>
      <c r="U195" s="273">
        <f t="shared" si="35"/>
        <v>0</v>
      </c>
      <c r="V195" s="287">
        <f t="shared" si="36"/>
        <v>0</v>
      </c>
      <c r="W195" s="340"/>
      <c r="X195" s="236">
        <f t="shared" si="37"/>
        <v>0</v>
      </c>
      <c r="Y195" s="253">
        <f t="shared" si="38"/>
        <v>0</v>
      </c>
    </row>
    <row r="196" spans="1:25" x14ac:dyDescent="0.25">
      <c r="A196" s="111">
        <f>Données!A196</f>
        <v>5723</v>
      </c>
      <c r="B196" s="119" t="str">
        <f>Données!B196</f>
        <v>Mies</v>
      </c>
      <c r="C196" s="252">
        <f>Données!C196</f>
        <v>2194</v>
      </c>
      <c r="D196" s="265"/>
      <c r="E196" s="249">
        <f>Données!X196</f>
        <v>349</v>
      </c>
      <c r="F196" s="286">
        <f t="shared" si="26"/>
        <v>0.15907019143117593</v>
      </c>
      <c r="G196" s="265">
        <f t="shared" si="27"/>
        <v>1677.4845751231528</v>
      </c>
      <c r="H196" s="273">
        <f t="shared" si="33"/>
        <v>0</v>
      </c>
      <c r="I196" s="287">
        <f t="shared" si="34"/>
        <v>0</v>
      </c>
      <c r="J196" s="265"/>
      <c r="K196" s="274">
        <f>Données!Y196</f>
        <v>0</v>
      </c>
      <c r="L196" s="441">
        <f>Données!Z196</f>
        <v>1.9E-2</v>
      </c>
      <c r="M196" s="265">
        <f t="shared" si="28"/>
        <v>11.142532146389714</v>
      </c>
      <c r="N196" s="287">
        <f t="shared" si="29"/>
        <v>0</v>
      </c>
      <c r="O196" s="265"/>
      <c r="P196" s="249">
        <f>Données!AA196</f>
        <v>178</v>
      </c>
      <c r="Q196" s="284">
        <f>Données!AB196</f>
        <v>69</v>
      </c>
      <c r="R196" s="236">
        <f t="shared" si="30"/>
        <v>188.35</v>
      </c>
      <c r="S196" s="288">
        <f t="shared" si="31"/>
        <v>8.5847766636280756E-2</v>
      </c>
      <c r="T196" s="273">
        <f t="shared" si="32"/>
        <v>298.81472392638022</v>
      </c>
      <c r="U196" s="273">
        <f t="shared" si="35"/>
        <v>0</v>
      </c>
      <c r="V196" s="287">
        <f t="shared" si="36"/>
        <v>0</v>
      </c>
      <c r="W196" s="340"/>
      <c r="X196" s="236">
        <f t="shared" si="37"/>
        <v>0</v>
      </c>
      <c r="Y196" s="253">
        <f t="shared" si="38"/>
        <v>0</v>
      </c>
    </row>
    <row r="197" spans="1:25" x14ac:dyDescent="0.25">
      <c r="A197" s="111">
        <f>Données!A197</f>
        <v>5724</v>
      </c>
      <c r="B197" s="119" t="str">
        <f>Données!B197</f>
        <v>Nyon</v>
      </c>
      <c r="C197" s="252">
        <f>Données!C197</f>
        <v>23732</v>
      </c>
      <c r="D197" s="265"/>
      <c r="E197" s="249">
        <f>Données!X197</f>
        <v>683</v>
      </c>
      <c r="F197" s="286">
        <f t="shared" si="26"/>
        <v>2.8779706725096915E-2</v>
      </c>
      <c r="G197" s="265">
        <f t="shared" si="27"/>
        <v>18144.969889162563</v>
      </c>
      <c r="H197" s="273">
        <f t="shared" si="33"/>
        <v>0</v>
      </c>
      <c r="I197" s="287">
        <f t="shared" si="34"/>
        <v>0</v>
      </c>
      <c r="J197" s="265"/>
      <c r="K197" s="274">
        <f>Données!Y197</f>
        <v>0</v>
      </c>
      <c r="L197" s="441">
        <f>Données!Z197</f>
        <v>5.8000000000000003E-2</v>
      </c>
      <c r="M197" s="265">
        <f t="shared" si="28"/>
        <v>34.014045499505443</v>
      </c>
      <c r="N197" s="287">
        <f t="shared" si="29"/>
        <v>0</v>
      </c>
      <c r="O197" s="265"/>
      <c r="P197" s="249">
        <f>Données!AA197</f>
        <v>2478</v>
      </c>
      <c r="Q197" s="284">
        <f>Données!AB197</f>
        <v>25</v>
      </c>
      <c r="R197" s="236">
        <f t="shared" si="30"/>
        <v>2481.75</v>
      </c>
      <c r="S197" s="288">
        <f t="shared" si="31"/>
        <v>0.10457399292095061</v>
      </c>
      <c r="T197" s="273">
        <f t="shared" si="32"/>
        <v>3232.2110429447839</v>
      </c>
      <c r="U197" s="273">
        <f t="shared" si="35"/>
        <v>0</v>
      </c>
      <c r="V197" s="287">
        <f t="shared" si="36"/>
        <v>0</v>
      </c>
      <c r="W197" s="340"/>
      <c r="X197" s="236">
        <f t="shared" si="37"/>
        <v>0</v>
      </c>
      <c r="Y197" s="253">
        <f t="shared" si="38"/>
        <v>0</v>
      </c>
    </row>
    <row r="198" spans="1:25" x14ac:dyDescent="0.25">
      <c r="A198" s="111">
        <f>Données!A198</f>
        <v>5725</v>
      </c>
      <c r="B198" s="119" t="str">
        <f>Données!B198</f>
        <v>Prangins</v>
      </c>
      <c r="C198" s="252">
        <f>Données!C198</f>
        <v>4243</v>
      </c>
      <c r="D198" s="265"/>
      <c r="E198" s="249">
        <f>Données!X198</f>
        <v>600</v>
      </c>
      <c r="F198" s="286">
        <f t="shared" si="26"/>
        <v>0.14140938015555032</v>
      </c>
      <c r="G198" s="265">
        <f t="shared" si="27"/>
        <v>3244.1053109605909</v>
      </c>
      <c r="H198" s="273">
        <f t="shared" si="33"/>
        <v>0</v>
      </c>
      <c r="I198" s="287">
        <f t="shared" si="34"/>
        <v>0</v>
      </c>
      <c r="J198" s="265"/>
      <c r="K198" s="274">
        <f>Données!Y198</f>
        <v>0</v>
      </c>
      <c r="L198" s="441">
        <f>Données!Z198</f>
        <v>2.8000000000000001E-2</v>
      </c>
      <c r="M198" s="265">
        <f t="shared" si="28"/>
        <v>16.420573689416422</v>
      </c>
      <c r="N198" s="287">
        <f t="shared" si="29"/>
        <v>0</v>
      </c>
      <c r="O198" s="265"/>
      <c r="P198" s="249">
        <f>Données!AA198</f>
        <v>472</v>
      </c>
      <c r="Q198" s="284">
        <f>Données!AB198</f>
        <v>121</v>
      </c>
      <c r="R198" s="236">
        <f t="shared" si="30"/>
        <v>490.15</v>
      </c>
      <c r="S198" s="288">
        <f t="shared" si="31"/>
        <v>0.11551967947207165</v>
      </c>
      <c r="T198" s="273">
        <f t="shared" si="32"/>
        <v>577.88098159509173</v>
      </c>
      <c r="U198" s="273">
        <f t="shared" si="35"/>
        <v>0</v>
      </c>
      <c r="V198" s="287">
        <f t="shared" si="36"/>
        <v>0</v>
      </c>
      <c r="W198" s="340"/>
      <c r="X198" s="236">
        <f t="shared" si="37"/>
        <v>0</v>
      </c>
      <c r="Y198" s="253">
        <f t="shared" si="38"/>
        <v>0</v>
      </c>
    </row>
    <row r="199" spans="1:25" x14ac:dyDescent="0.25">
      <c r="A199" s="111">
        <f>Données!A199</f>
        <v>5726</v>
      </c>
      <c r="B199" s="119" t="str">
        <f>Données!B199</f>
        <v>La Rippe</v>
      </c>
      <c r="C199" s="252">
        <f>Données!C199</f>
        <v>1218</v>
      </c>
      <c r="D199" s="265"/>
      <c r="E199" s="249">
        <f>Données!X199</f>
        <v>1646</v>
      </c>
      <c r="F199" s="286">
        <f t="shared" si="26"/>
        <v>1.3513957307060755</v>
      </c>
      <c r="G199" s="265">
        <f t="shared" si="27"/>
        <v>931.25625000000002</v>
      </c>
      <c r="H199" s="273">
        <f t="shared" si="33"/>
        <v>714.74374999999998</v>
      </c>
      <c r="I199" s="287">
        <f t="shared" si="34"/>
        <v>-76211</v>
      </c>
      <c r="J199" s="265"/>
      <c r="K199" s="274">
        <f>Données!Y199</f>
        <v>0</v>
      </c>
      <c r="L199" s="441">
        <f>Données!Z199</f>
        <v>0.29699999999999999</v>
      </c>
      <c r="M199" s="265">
        <f t="shared" si="28"/>
        <v>174.17537091988129</v>
      </c>
      <c r="N199" s="287">
        <f t="shared" si="29"/>
        <v>0</v>
      </c>
      <c r="O199" s="265"/>
      <c r="P199" s="249">
        <f>Données!AA199</f>
        <v>155</v>
      </c>
      <c r="Q199" s="284">
        <f>Données!AB199</f>
        <v>54</v>
      </c>
      <c r="R199" s="236">
        <f t="shared" si="30"/>
        <v>163.1</v>
      </c>
      <c r="S199" s="288">
        <f t="shared" si="31"/>
        <v>0.1339080459770115</v>
      </c>
      <c r="T199" s="273">
        <f t="shared" si="32"/>
        <v>165.88711656441711</v>
      </c>
      <c r="U199" s="273">
        <f t="shared" si="35"/>
        <v>0</v>
      </c>
      <c r="V199" s="287">
        <f t="shared" si="36"/>
        <v>0</v>
      </c>
      <c r="W199" s="340"/>
      <c r="X199" s="236">
        <f t="shared" si="37"/>
        <v>0</v>
      </c>
      <c r="Y199" s="253">
        <f t="shared" si="38"/>
        <v>0</v>
      </c>
    </row>
    <row r="200" spans="1:25" x14ac:dyDescent="0.25">
      <c r="A200" s="111">
        <f>Données!A200</f>
        <v>5727</v>
      </c>
      <c r="B200" s="119" t="str">
        <f>Données!B200</f>
        <v>Saint-Cergue</v>
      </c>
      <c r="C200" s="252">
        <f>Données!C200</f>
        <v>3057</v>
      </c>
      <c r="D200" s="265"/>
      <c r="E200" s="249">
        <f>Données!X200</f>
        <v>2413</v>
      </c>
      <c r="F200" s="286">
        <f t="shared" ref="F200:F263" si="39">E200/C200</f>
        <v>0.78933595027805037</v>
      </c>
      <c r="G200" s="265">
        <f t="shared" ref="G200:G263" si="40">C200*$I$4</f>
        <v>2337.3155634236455</v>
      </c>
      <c r="H200" s="273">
        <f t="shared" si="33"/>
        <v>75.684436576354528</v>
      </c>
      <c r="I200" s="287">
        <f t="shared" si="34"/>
        <v>-8070</v>
      </c>
      <c r="J200" s="265"/>
      <c r="K200" s="274">
        <f>Données!Y200</f>
        <v>3057</v>
      </c>
      <c r="L200" s="441">
        <f>Données!Z200</f>
        <v>0.27</v>
      </c>
      <c r="M200" s="265">
        <f t="shared" ref="M200:M263" si="41">L200*$N$5</f>
        <v>158.34124629080119</v>
      </c>
      <c r="N200" s="287">
        <f t="shared" ref="N200:N263" si="42">ROUND(-M200*K200,0)</f>
        <v>-484049</v>
      </c>
      <c r="O200" s="265"/>
      <c r="P200" s="249">
        <f>Données!AA200</f>
        <v>353</v>
      </c>
      <c r="Q200" s="284">
        <f>Données!AB200</f>
        <v>177</v>
      </c>
      <c r="R200" s="236">
        <f t="shared" ref="R200:R263" si="43">P200*$P$6+Q200*$Q$6</f>
        <v>379.55</v>
      </c>
      <c r="S200" s="288">
        <f t="shared" ref="S200:S263" si="44">R200/C200</f>
        <v>0.12415767091920184</v>
      </c>
      <c r="T200" s="273">
        <f t="shared" ref="T200:T263" si="45">$V$4*C200</f>
        <v>416.35214723926362</v>
      </c>
      <c r="U200" s="273">
        <f t="shared" si="35"/>
        <v>0</v>
      </c>
      <c r="V200" s="287">
        <f t="shared" si="36"/>
        <v>0</v>
      </c>
      <c r="W200" s="340"/>
      <c r="X200" s="236">
        <f t="shared" si="37"/>
        <v>0</v>
      </c>
      <c r="Y200" s="253">
        <f t="shared" si="38"/>
        <v>0</v>
      </c>
    </row>
    <row r="201" spans="1:25" x14ac:dyDescent="0.25">
      <c r="A201" s="111">
        <f>Données!A201</f>
        <v>5728</v>
      </c>
      <c r="B201" s="119" t="str">
        <f>Données!B201</f>
        <v>Signy-Avenex</v>
      </c>
      <c r="C201" s="252">
        <f>Données!C201</f>
        <v>586</v>
      </c>
      <c r="D201" s="265"/>
      <c r="E201" s="249">
        <f>Données!X201</f>
        <v>193</v>
      </c>
      <c r="F201" s="286">
        <f t="shared" si="39"/>
        <v>0.32935153583617749</v>
      </c>
      <c r="G201" s="265">
        <f t="shared" si="40"/>
        <v>448.04282635467979</v>
      </c>
      <c r="H201" s="273">
        <f t="shared" ref="H201:H264" si="46">IF(E201&gt;G201,E201-G201,0)</f>
        <v>0</v>
      </c>
      <c r="I201" s="287">
        <f t="shared" ref="I201:I264" si="47">ROUND(-H201*$I$5,0)</f>
        <v>0</v>
      </c>
      <c r="J201" s="265"/>
      <c r="K201" s="274">
        <f>Données!Y201</f>
        <v>0</v>
      </c>
      <c r="L201" s="441">
        <f>Données!Z201</f>
        <v>8.9999999999999993E-3</v>
      </c>
      <c r="M201" s="265">
        <f t="shared" si="41"/>
        <v>5.2780415430267063</v>
      </c>
      <c r="N201" s="287">
        <f t="shared" si="42"/>
        <v>0</v>
      </c>
      <c r="O201" s="265"/>
      <c r="P201" s="249">
        <f>Données!AA201</f>
        <v>61</v>
      </c>
      <c r="Q201" s="284">
        <f>Données!AB201</f>
        <v>58</v>
      </c>
      <c r="R201" s="236">
        <f t="shared" si="43"/>
        <v>69.7</v>
      </c>
      <c r="S201" s="288">
        <f t="shared" si="44"/>
        <v>0.1189419795221843</v>
      </c>
      <c r="T201" s="273">
        <f t="shared" si="45"/>
        <v>79.811042944785243</v>
      </c>
      <c r="U201" s="273">
        <f t="shared" ref="U201:U264" si="48">IF(R201&gt;T201,R201-T201,0)</f>
        <v>0</v>
      </c>
      <c r="V201" s="287">
        <f t="shared" ref="V201:V264" si="49">ROUND(-$V$5*U201,0)</f>
        <v>0</v>
      </c>
      <c r="W201" s="340"/>
      <c r="X201" s="236">
        <f t="shared" ref="X201:X264" si="50">IF(-Q201*$Q$6*$V$5&gt;V201,-Q201*$Q$6*$V$5,V201)</f>
        <v>0</v>
      </c>
      <c r="Y201" s="253">
        <f t="shared" ref="Y201:Y264" si="51">IF(X201&gt;V201,V201-X201,0)</f>
        <v>0</v>
      </c>
    </row>
    <row r="202" spans="1:25" x14ac:dyDescent="0.25">
      <c r="A202" s="111">
        <f>Données!A202</f>
        <v>5729</v>
      </c>
      <c r="B202" s="119" t="str">
        <f>Données!B202</f>
        <v>Tannay</v>
      </c>
      <c r="C202" s="252">
        <f>Données!C202</f>
        <v>1732</v>
      </c>
      <c r="D202" s="265"/>
      <c r="E202" s="249">
        <f>Données!X202</f>
        <v>178</v>
      </c>
      <c r="F202" s="286">
        <f t="shared" si="39"/>
        <v>0.10277136258660508</v>
      </c>
      <c r="G202" s="265">
        <f t="shared" si="40"/>
        <v>1324.2494458128078</v>
      </c>
      <c r="H202" s="273">
        <f t="shared" si="46"/>
        <v>0</v>
      </c>
      <c r="I202" s="287">
        <f t="shared" si="47"/>
        <v>0</v>
      </c>
      <c r="J202" s="265"/>
      <c r="K202" s="274">
        <f>Données!Y202</f>
        <v>0</v>
      </c>
      <c r="L202" s="441">
        <f>Données!Z202</f>
        <v>3.2000000000000001E-2</v>
      </c>
      <c r="M202" s="265">
        <f t="shared" si="41"/>
        <v>18.766369930761623</v>
      </c>
      <c r="N202" s="287">
        <f t="shared" si="42"/>
        <v>0</v>
      </c>
      <c r="O202" s="265"/>
      <c r="P202" s="249">
        <f>Données!AA202</f>
        <v>150</v>
      </c>
      <c r="Q202" s="284">
        <f>Données!AB202</f>
        <v>13</v>
      </c>
      <c r="R202" s="236">
        <f t="shared" si="43"/>
        <v>151.94999999999999</v>
      </c>
      <c r="S202" s="288">
        <f t="shared" si="44"/>
        <v>8.7730946882217081E-2</v>
      </c>
      <c r="T202" s="273">
        <f t="shared" si="45"/>
        <v>235.89202453987718</v>
      </c>
      <c r="U202" s="273">
        <f t="shared" si="48"/>
        <v>0</v>
      </c>
      <c r="V202" s="287">
        <f t="shared" si="49"/>
        <v>0</v>
      </c>
      <c r="W202" s="340"/>
      <c r="X202" s="236">
        <f t="shared" si="50"/>
        <v>0</v>
      </c>
      <c r="Y202" s="253">
        <f t="shared" si="51"/>
        <v>0</v>
      </c>
    </row>
    <row r="203" spans="1:25" x14ac:dyDescent="0.25">
      <c r="A203" s="111">
        <f>Données!A203</f>
        <v>5730</v>
      </c>
      <c r="B203" s="119" t="str">
        <f>Données!B203</f>
        <v>Trélex</v>
      </c>
      <c r="C203" s="252">
        <f>Données!C203</f>
        <v>1427</v>
      </c>
      <c r="D203" s="265"/>
      <c r="E203" s="249">
        <f>Données!X203</f>
        <v>584</v>
      </c>
      <c r="F203" s="286">
        <f t="shared" si="39"/>
        <v>0.40925017519271201</v>
      </c>
      <c r="G203" s="265">
        <f t="shared" si="40"/>
        <v>1091.0530942118226</v>
      </c>
      <c r="H203" s="273">
        <f t="shared" si="46"/>
        <v>0</v>
      </c>
      <c r="I203" s="287">
        <f t="shared" si="47"/>
        <v>0</v>
      </c>
      <c r="J203" s="265"/>
      <c r="K203" s="274">
        <f>Données!Y203</f>
        <v>0</v>
      </c>
      <c r="L203" s="441">
        <f>Données!Z203</f>
        <v>7.0000000000000007E-2</v>
      </c>
      <c r="M203" s="265">
        <f t="shared" si="41"/>
        <v>41.051434223541051</v>
      </c>
      <c r="N203" s="287">
        <f t="shared" si="42"/>
        <v>0</v>
      </c>
      <c r="O203" s="265"/>
      <c r="P203" s="249">
        <f>Données!AA203</f>
        <v>146</v>
      </c>
      <c r="Q203" s="284">
        <f>Données!AB203</f>
        <v>74</v>
      </c>
      <c r="R203" s="236">
        <f t="shared" si="43"/>
        <v>157.1</v>
      </c>
      <c r="S203" s="288">
        <f t="shared" si="44"/>
        <v>0.11009110021023125</v>
      </c>
      <c r="T203" s="273">
        <f t="shared" si="45"/>
        <v>194.3521472392637</v>
      </c>
      <c r="U203" s="273">
        <f t="shared" si="48"/>
        <v>0</v>
      </c>
      <c r="V203" s="287">
        <f t="shared" si="49"/>
        <v>0</v>
      </c>
      <c r="W203" s="340"/>
      <c r="X203" s="236">
        <f t="shared" si="50"/>
        <v>0</v>
      </c>
      <c r="Y203" s="253">
        <f t="shared" si="51"/>
        <v>0</v>
      </c>
    </row>
    <row r="204" spans="1:25" x14ac:dyDescent="0.25">
      <c r="A204" s="111">
        <f>Données!A204</f>
        <v>5731</v>
      </c>
      <c r="B204" s="119" t="str">
        <f>Données!B204</f>
        <v>Le Vaud</v>
      </c>
      <c r="C204" s="252">
        <f>Données!C204</f>
        <v>1374</v>
      </c>
      <c r="D204" s="265"/>
      <c r="E204" s="249">
        <f>Données!X204</f>
        <v>313</v>
      </c>
      <c r="F204" s="286">
        <f t="shared" si="39"/>
        <v>0.22780203784570596</v>
      </c>
      <c r="G204" s="265">
        <f t="shared" si="40"/>
        <v>1050.5304495073892</v>
      </c>
      <c r="H204" s="273">
        <f t="shared" si="46"/>
        <v>0</v>
      </c>
      <c r="I204" s="287">
        <f t="shared" si="47"/>
        <v>0</v>
      </c>
      <c r="J204" s="265"/>
      <c r="K204" s="274">
        <f>Données!Y204</f>
        <v>1370</v>
      </c>
      <c r="L204" s="441">
        <f>Données!Z204</f>
        <v>0.13500000000000001</v>
      </c>
      <c r="M204" s="265">
        <f t="shared" si="41"/>
        <v>79.170623145400597</v>
      </c>
      <c r="N204" s="287">
        <f t="shared" si="42"/>
        <v>-108464</v>
      </c>
      <c r="O204" s="265"/>
      <c r="P204" s="249">
        <f>Données!AA204</f>
        <v>151</v>
      </c>
      <c r="Q204" s="284">
        <f>Données!AB204</f>
        <v>47</v>
      </c>
      <c r="R204" s="236">
        <f t="shared" si="43"/>
        <v>158.05000000000001</v>
      </c>
      <c r="S204" s="288">
        <f t="shared" si="44"/>
        <v>0.11502911208151384</v>
      </c>
      <c r="T204" s="273">
        <f t="shared" si="45"/>
        <v>187.13374233128826</v>
      </c>
      <c r="U204" s="273">
        <f t="shared" si="48"/>
        <v>0</v>
      </c>
      <c r="V204" s="287">
        <f t="shared" si="49"/>
        <v>0</v>
      </c>
      <c r="W204" s="340"/>
      <c r="X204" s="236">
        <f t="shared" si="50"/>
        <v>0</v>
      </c>
      <c r="Y204" s="253">
        <f t="shared" si="51"/>
        <v>0</v>
      </c>
    </row>
    <row r="205" spans="1:25" x14ac:dyDescent="0.25">
      <c r="A205" s="111">
        <f>Données!A205</f>
        <v>5732</v>
      </c>
      <c r="B205" s="119" t="str">
        <f>Données!B205</f>
        <v>Vich</v>
      </c>
      <c r="C205" s="252">
        <f>Données!C205</f>
        <v>1174</v>
      </c>
      <c r="D205" s="265"/>
      <c r="E205" s="249">
        <f>Données!X205</f>
        <v>152</v>
      </c>
      <c r="F205" s="286">
        <f t="shared" si="39"/>
        <v>0.12947189097103917</v>
      </c>
      <c r="G205" s="265">
        <f t="shared" si="40"/>
        <v>897.61480911330045</v>
      </c>
      <c r="H205" s="273">
        <f t="shared" si="46"/>
        <v>0</v>
      </c>
      <c r="I205" s="287">
        <f t="shared" si="47"/>
        <v>0</v>
      </c>
      <c r="J205" s="265"/>
      <c r="K205" s="274">
        <f>Données!Y205</f>
        <v>0</v>
      </c>
      <c r="L205" s="441">
        <f>Données!Z205</f>
        <v>0.108</v>
      </c>
      <c r="M205" s="265">
        <f t="shared" si="41"/>
        <v>63.336498516320475</v>
      </c>
      <c r="N205" s="287">
        <f t="shared" si="42"/>
        <v>0</v>
      </c>
      <c r="O205" s="265"/>
      <c r="P205" s="249">
        <f>Données!AA205</f>
        <v>133</v>
      </c>
      <c r="Q205" s="284">
        <f>Données!AB205</f>
        <v>19</v>
      </c>
      <c r="R205" s="236">
        <f t="shared" si="43"/>
        <v>135.85</v>
      </c>
      <c r="S205" s="288">
        <f t="shared" si="44"/>
        <v>0.11571550255536626</v>
      </c>
      <c r="T205" s="273">
        <f t="shared" si="45"/>
        <v>159.89447852760728</v>
      </c>
      <c r="U205" s="273">
        <f t="shared" si="48"/>
        <v>0</v>
      </c>
      <c r="V205" s="287">
        <f t="shared" si="49"/>
        <v>0</v>
      </c>
      <c r="W205" s="340"/>
      <c r="X205" s="236">
        <f t="shared" si="50"/>
        <v>0</v>
      </c>
      <c r="Y205" s="253">
        <f t="shared" si="51"/>
        <v>0</v>
      </c>
    </row>
    <row r="206" spans="1:25" x14ac:dyDescent="0.25">
      <c r="A206" s="111">
        <f>Données!A206</f>
        <v>5741</v>
      </c>
      <c r="B206" s="119" t="str">
        <f>Données!B206</f>
        <v>L'Abergement</v>
      </c>
      <c r="C206" s="252">
        <f>Données!C206</f>
        <v>267</v>
      </c>
      <c r="D206" s="265"/>
      <c r="E206" s="249">
        <f>Données!X206</f>
        <v>581</v>
      </c>
      <c r="F206" s="286">
        <f t="shared" si="39"/>
        <v>2.1760299625468167</v>
      </c>
      <c r="G206" s="265">
        <f t="shared" si="40"/>
        <v>204.14237992610836</v>
      </c>
      <c r="H206" s="273">
        <f t="shared" si="46"/>
        <v>376.85762007389167</v>
      </c>
      <c r="I206" s="287">
        <f t="shared" si="47"/>
        <v>-40183</v>
      </c>
      <c r="J206" s="265"/>
      <c r="K206" s="274">
        <f>Données!Y206</f>
        <v>25</v>
      </c>
      <c r="L206" s="441">
        <f>Données!Z206</f>
        <v>0.30199999999999999</v>
      </c>
      <c r="M206" s="265">
        <f t="shared" si="41"/>
        <v>177.10761622156281</v>
      </c>
      <c r="N206" s="287">
        <f t="shared" si="42"/>
        <v>-4428</v>
      </c>
      <c r="O206" s="265"/>
      <c r="P206" s="249">
        <f>Données!AA206</f>
        <v>26</v>
      </c>
      <c r="Q206" s="284">
        <f>Données!AB206</f>
        <v>26</v>
      </c>
      <c r="R206" s="236">
        <f t="shared" si="43"/>
        <v>29.9</v>
      </c>
      <c r="S206" s="288">
        <f t="shared" si="44"/>
        <v>0.11198501872659175</v>
      </c>
      <c r="T206" s="273">
        <f t="shared" si="45"/>
        <v>36.364417177914092</v>
      </c>
      <c r="U206" s="273">
        <f t="shared" si="48"/>
        <v>0</v>
      </c>
      <c r="V206" s="287">
        <f t="shared" si="49"/>
        <v>0</v>
      </c>
      <c r="W206" s="340"/>
      <c r="X206" s="236">
        <f t="shared" si="50"/>
        <v>0</v>
      </c>
      <c r="Y206" s="253">
        <f t="shared" si="51"/>
        <v>0</v>
      </c>
    </row>
    <row r="207" spans="1:25" x14ac:dyDescent="0.25">
      <c r="A207" s="111">
        <f>Données!A207</f>
        <v>5742</v>
      </c>
      <c r="B207" s="119" t="str">
        <f>Données!B207</f>
        <v>Agiez</v>
      </c>
      <c r="C207" s="252">
        <f>Données!C207</f>
        <v>382</v>
      </c>
      <c r="D207" s="265"/>
      <c r="E207" s="249">
        <f>Données!X207</f>
        <v>543</v>
      </c>
      <c r="F207" s="286">
        <f t="shared" si="39"/>
        <v>1.4214659685863875</v>
      </c>
      <c r="G207" s="265">
        <f t="shared" si="40"/>
        <v>292.06887315270939</v>
      </c>
      <c r="H207" s="273">
        <f t="shared" si="46"/>
        <v>250.93112684729061</v>
      </c>
      <c r="I207" s="287">
        <f t="shared" si="47"/>
        <v>-26756</v>
      </c>
      <c r="J207" s="265"/>
      <c r="K207" s="274">
        <f>Données!Y207</f>
        <v>0</v>
      </c>
      <c r="L207" s="441">
        <f>Données!Z207</f>
        <v>7.0999999999999994E-2</v>
      </c>
      <c r="M207" s="265">
        <f t="shared" si="41"/>
        <v>41.637883283877343</v>
      </c>
      <c r="N207" s="287">
        <f t="shared" si="42"/>
        <v>0</v>
      </c>
      <c r="O207" s="265"/>
      <c r="P207" s="249">
        <f>Données!AA207</f>
        <v>61</v>
      </c>
      <c r="Q207" s="284">
        <f>Données!AB207</f>
        <v>31</v>
      </c>
      <c r="R207" s="236">
        <f t="shared" si="43"/>
        <v>65.650000000000006</v>
      </c>
      <c r="S207" s="288">
        <f t="shared" si="44"/>
        <v>0.1718586387434555</v>
      </c>
      <c r="T207" s="273">
        <f t="shared" si="45"/>
        <v>52.026993865030647</v>
      </c>
      <c r="U207" s="273">
        <f t="shared" si="48"/>
        <v>13.623006134969359</v>
      </c>
      <c r="V207" s="287">
        <f t="shared" si="49"/>
        <v>-58103</v>
      </c>
      <c r="W207" s="340"/>
      <c r="X207" s="236">
        <f t="shared" si="50"/>
        <v>-19832.640949554894</v>
      </c>
      <c r="Y207" s="253">
        <f t="shared" si="51"/>
        <v>-38270.359050445106</v>
      </c>
    </row>
    <row r="208" spans="1:25" x14ac:dyDescent="0.25">
      <c r="A208" s="111">
        <f>Données!A208</f>
        <v>5743</v>
      </c>
      <c r="B208" s="119" t="str">
        <f>Données!B208</f>
        <v>Arnex-sur-Orbe</v>
      </c>
      <c r="C208" s="252">
        <f>Données!C208</f>
        <v>698</v>
      </c>
      <c r="D208" s="265"/>
      <c r="E208" s="249">
        <f>Données!X208</f>
        <v>756</v>
      </c>
      <c r="F208" s="286">
        <f t="shared" si="39"/>
        <v>1.0830945558739256</v>
      </c>
      <c r="G208" s="265">
        <f t="shared" si="40"/>
        <v>533.67558497536947</v>
      </c>
      <c r="H208" s="273">
        <f t="shared" si="46"/>
        <v>222.32441502463053</v>
      </c>
      <c r="I208" s="287">
        <f t="shared" si="47"/>
        <v>-23706</v>
      </c>
      <c r="J208" s="265"/>
      <c r="K208" s="274">
        <f>Données!Y208</f>
        <v>0</v>
      </c>
      <c r="L208" s="441">
        <f>Données!Z208</f>
        <v>5.1999999999999998E-2</v>
      </c>
      <c r="M208" s="265">
        <f t="shared" si="41"/>
        <v>30.495351137487635</v>
      </c>
      <c r="N208" s="287">
        <f t="shared" si="42"/>
        <v>0</v>
      </c>
      <c r="O208" s="265"/>
      <c r="P208" s="249">
        <f>Données!AA208</f>
        <v>91</v>
      </c>
      <c r="Q208" s="284">
        <f>Données!AB208</f>
        <v>50</v>
      </c>
      <c r="R208" s="236">
        <f t="shared" si="43"/>
        <v>98.5</v>
      </c>
      <c r="S208" s="288">
        <f t="shared" si="44"/>
        <v>0.14111747851002865</v>
      </c>
      <c r="T208" s="273">
        <f t="shared" si="45"/>
        <v>95.065030674846582</v>
      </c>
      <c r="U208" s="273">
        <f t="shared" si="48"/>
        <v>3.4349693251534177</v>
      </c>
      <c r="V208" s="287">
        <f t="shared" si="49"/>
        <v>-14650</v>
      </c>
      <c r="W208" s="340"/>
      <c r="X208" s="236">
        <f t="shared" si="50"/>
        <v>-14650</v>
      </c>
      <c r="Y208" s="253">
        <f t="shared" si="51"/>
        <v>0</v>
      </c>
    </row>
    <row r="209" spans="1:25" x14ac:dyDescent="0.25">
      <c r="A209" s="111">
        <f>Données!A209</f>
        <v>5744</v>
      </c>
      <c r="B209" s="119" t="str">
        <f>Données!B209</f>
        <v>Ballaigues</v>
      </c>
      <c r="C209" s="252">
        <f>Données!C209</f>
        <v>1217</v>
      </c>
      <c r="D209" s="265"/>
      <c r="E209" s="249">
        <f>Données!X209</f>
        <v>902</v>
      </c>
      <c r="F209" s="286">
        <f t="shared" si="39"/>
        <v>0.74116680361544784</v>
      </c>
      <c r="G209" s="265">
        <f t="shared" si="40"/>
        <v>930.49167179802953</v>
      </c>
      <c r="H209" s="273">
        <f t="shared" si="46"/>
        <v>0</v>
      </c>
      <c r="I209" s="287">
        <f t="shared" si="47"/>
        <v>0</v>
      </c>
      <c r="J209" s="265"/>
      <c r="K209" s="274">
        <f>Données!Y209</f>
        <v>1217</v>
      </c>
      <c r="L209" s="441">
        <f>Données!Z209</f>
        <v>0.23899999999999999</v>
      </c>
      <c r="M209" s="265">
        <f t="shared" si="41"/>
        <v>140.16132542037587</v>
      </c>
      <c r="N209" s="287">
        <f t="shared" si="42"/>
        <v>-170576</v>
      </c>
      <c r="O209" s="265"/>
      <c r="P209" s="249">
        <f>Données!AA209</f>
        <v>142</v>
      </c>
      <c r="Q209" s="284">
        <f>Données!AB209</f>
        <v>61</v>
      </c>
      <c r="R209" s="236">
        <f t="shared" si="43"/>
        <v>151.15</v>
      </c>
      <c r="S209" s="288">
        <f t="shared" si="44"/>
        <v>0.12419884963023829</v>
      </c>
      <c r="T209" s="273">
        <f t="shared" si="45"/>
        <v>165.7509202453987</v>
      </c>
      <c r="U209" s="273">
        <f t="shared" si="48"/>
        <v>0</v>
      </c>
      <c r="V209" s="287">
        <f t="shared" si="49"/>
        <v>0</v>
      </c>
      <c r="W209" s="340"/>
      <c r="X209" s="236">
        <f t="shared" si="50"/>
        <v>0</v>
      </c>
      <c r="Y209" s="253">
        <f t="shared" si="51"/>
        <v>0</v>
      </c>
    </row>
    <row r="210" spans="1:25" x14ac:dyDescent="0.25">
      <c r="A210" s="111">
        <f>Données!A210</f>
        <v>5745</v>
      </c>
      <c r="B210" s="119" t="str">
        <f>Données!B210</f>
        <v>Baulmes</v>
      </c>
      <c r="C210" s="252">
        <f>Données!C210</f>
        <v>1189</v>
      </c>
      <c r="D210" s="265"/>
      <c r="E210" s="249">
        <f>Données!X210</f>
        <v>2229</v>
      </c>
      <c r="F210" s="286">
        <f t="shared" si="39"/>
        <v>1.8746846089150546</v>
      </c>
      <c r="G210" s="265">
        <f t="shared" si="40"/>
        <v>909.08348214285718</v>
      </c>
      <c r="H210" s="273">
        <f t="shared" si="46"/>
        <v>1319.9165178571429</v>
      </c>
      <c r="I210" s="287">
        <f t="shared" si="47"/>
        <v>-140739</v>
      </c>
      <c r="J210" s="265"/>
      <c r="K210" s="274">
        <f>Données!Y210</f>
        <v>1</v>
      </c>
      <c r="L210" s="441">
        <f>Données!Z210</f>
        <v>0.42499999999999999</v>
      </c>
      <c r="M210" s="265">
        <f t="shared" si="41"/>
        <v>249.2408506429278</v>
      </c>
      <c r="N210" s="287">
        <f t="shared" si="42"/>
        <v>-249</v>
      </c>
      <c r="O210" s="265"/>
      <c r="P210" s="249">
        <f>Données!AA210</f>
        <v>133</v>
      </c>
      <c r="Q210" s="284">
        <f>Données!AB210</f>
        <v>30</v>
      </c>
      <c r="R210" s="236">
        <f t="shared" si="43"/>
        <v>137.5</v>
      </c>
      <c r="S210" s="288">
        <f t="shared" si="44"/>
        <v>0.11564339781328847</v>
      </c>
      <c r="T210" s="273">
        <f t="shared" si="45"/>
        <v>161.93742331288337</v>
      </c>
      <c r="U210" s="273">
        <f t="shared" si="48"/>
        <v>0</v>
      </c>
      <c r="V210" s="287">
        <f t="shared" si="49"/>
        <v>0</v>
      </c>
      <c r="W210" s="340"/>
      <c r="X210" s="236">
        <f t="shared" si="50"/>
        <v>0</v>
      </c>
      <c r="Y210" s="253">
        <f t="shared" si="51"/>
        <v>0</v>
      </c>
    </row>
    <row r="211" spans="1:25" x14ac:dyDescent="0.25">
      <c r="A211" s="111">
        <f>Données!A211</f>
        <v>5746</v>
      </c>
      <c r="B211" s="119" t="str">
        <f>Données!B211</f>
        <v>Bavois</v>
      </c>
      <c r="C211" s="252">
        <f>Données!C211</f>
        <v>1055</v>
      </c>
      <c r="D211" s="265"/>
      <c r="E211" s="249">
        <f>Données!X211</f>
        <v>923</v>
      </c>
      <c r="F211" s="286">
        <f t="shared" si="39"/>
        <v>0.87488151658767777</v>
      </c>
      <c r="G211" s="265">
        <f t="shared" si="40"/>
        <v>806.63000307881771</v>
      </c>
      <c r="H211" s="273">
        <f t="shared" si="46"/>
        <v>116.36999692118229</v>
      </c>
      <c r="I211" s="287">
        <f t="shared" si="47"/>
        <v>-12408</v>
      </c>
      <c r="J211" s="265"/>
      <c r="K211" s="274">
        <f>Données!Y211</f>
        <v>0</v>
      </c>
      <c r="L211" s="441">
        <f>Données!Z211</f>
        <v>6.3E-2</v>
      </c>
      <c r="M211" s="265">
        <f t="shared" si="41"/>
        <v>36.946290801186947</v>
      </c>
      <c r="N211" s="287">
        <f t="shared" si="42"/>
        <v>0</v>
      </c>
      <c r="O211" s="265"/>
      <c r="P211" s="249">
        <f>Données!AA211</f>
        <v>125</v>
      </c>
      <c r="Q211" s="284">
        <f>Données!AB211</f>
        <v>68</v>
      </c>
      <c r="R211" s="236">
        <f t="shared" si="43"/>
        <v>135.19999999999999</v>
      </c>
      <c r="S211" s="288">
        <f t="shared" si="44"/>
        <v>0.12815165876777251</v>
      </c>
      <c r="T211" s="273">
        <f t="shared" si="45"/>
        <v>143.6871165644171</v>
      </c>
      <c r="U211" s="273">
        <f t="shared" si="48"/>
        <v>0</v>
      </c>
      <c r="V211" s="287">
        <f t="shared" si="49"/>
        <v>0</v>
      </c>
      <c r="W211" s="340"/>
      <c r="X211" s="236">
        <f t="shared" si="50"/>
        <v>0</v>
      </c>
      <c r="Y211" s="253">
        <f t="shared" si="51"/>
        <v>0</v>
      </c>
    </row>
    <row r="212" spans="1:25" x14ac:dyDescent="0.25">
      <c r="A212" s="111">
        <f>Données!A212</f>
        <v>5747</v>
      </c>
      <c r="B212" s="119" t="str">
        <f>Données!B212</f>
        <v>Bofflens</v>
      </c>
      <c r="C212" s="252">
        <f>Données!C212</f>
        <v>201</v>
      </c>
      <c r="D212" s="265"/>
      <c r="E212" s="249">
        <f>Données!X212</f>
        <v>416</v>
      </c>
      <c r="F212" s="286">
        <f t="shared" si="39"/>
        <v>2.0696517412935322</v>
      </c>
      <c r="G212" s="265">
        <f t="shared" si="40"/>
        <v>153.68021859605912</v>
      </c>
      <c r="H212" s="273">
        <f t="shared" si="46"/>
        <v>262.31978140394085</v>
      </c>
      <c r="I212" s="287">
        <f t="shared" si="47"/>
        <v>-27970</v>
      </c>
      <c r="J212" s="265"/>
      <c r="K212" s="274">
        <f>Données!Y212</f>
        <v>0</v>
      </c>
      <c r="L212" s="441">
        <f>Données!Z212</f>
        <v>2.1000000000000001E-2</v>
      </c>
      <c r="M212" s="265">
        <f t="shared" si="41"/>
        <v>12.315430267062316</v>
      </c>
      <c r="N212" s="287">
        <f t="shared" si="42"/>
        <v>0</v>
      </c>
      <c r="O212" s="265"/>
      <c r="P212" s="249">
        <f>Données!AA212</f>
        <v>24</v>
      </c>
      <c r="Q212" s="284">
        <f>Données!AB212</f>
        <v>24</v>
      </c>
      <c r="R212" s="236">
        <f t="shared" si="43"/>
        <v>27.6</v>
      </c>
      <c r="S212" s="288">
        <f t="shared" si="44"/>
        <v>0.1373134328358209</v>
      </c>
      <c r="T212" s="273">
        <f t="shared" si="45"/>
        <v>27.375460122699373</v>
      </c>
      <c r="U212" s="273">
        <f t="shared" si="48"/>
        <v>0.22453987730062863</v>
      </c>
      <c r="V212" s="287">
        <f t="shared" si="49"/>
        <v>-958</v>
      </c>
      <c r="W212" s="340"/>
      <c r="X212" s="236">
        <f t="shared" si="50"/>
        <v>-958</v>
      </c>
      <c r="Y212" s="253">
        <f t="shared" si="51"/>
        <v>0</v>
      </c>
    </row>
    <row r="213" spans="1:25" x14ac:dyDescent="0.25">
      <c r="A213" s="111">
        <f>Données!A213</f>
        <v>5748</v>
      </c>
      <c r="B213" s="119" t="str">
        <f>Données!B213</f>
        <v>Bretonnières</v>
      </c>
      <c r="C213" s="252">
        <f>Données!C213</f>
        <v>265</v>
      </c>
      <c r="D213" s="265"/>
      <c r="E213" s="249">
        <f>Données!X213</f>
        <v>548</v>
      </c>
      <c r="F213" s="286">
        <f t="shared" si="39"/>
        <v>2.0679245283018868</v>
      </c>
      <c r="G213" s="265">
        <f t="shared" si="40"/>
        <v>202.61322352216749</v>
      </c>
      <c r="H213" s="273">
        <f t="shared" si="46"/>
        <v>345.38677647783254</v>
      </c>
      <c r="I213" s="287">
        <f t="shared" si="47"/>
        <v>-36828</v>
      </c>
      <c r="J213" s="265"/>
      <c r="K213" s="274">
        <f>Données!Y213</f>
        <v>1</v>
      </c>
      <c r="L213" s="441">
        <f>Données!Z213</f>
        <v>0.13</v>
      </c>
      <c r="M213" s="265">
        <f t="shared" si="41"/>
        <v>76.238377843719093</v>
      </c>
      <c r="N213" s="287">
        <f t="shared" si="42"/>
        <v>-76</v>
      </c>
      <c r="O213" s="265"/>
      <c r="P213" s="249">
        <f>Données!AA213</f>
        <v>43</v>
      </c>
      <c r="Q213" s="284">
        <f>Données!AB213</f>
        <v>43</v>
      </c>
      <c r="R213" s="236">
        <f t="shared" si="43"/>
        <v>49.45</v>
      </c>
      <c r="S213" s="288">
        <f t="shared" si="44"/>
        <v>0.18660377358490568</v>
      </c>
      <c r="T213" s="273">
        <f t="shared" si="45"/>
        <v>36.092024539877286</v>
      </c>
      <c r="U213" s="273">
        <f t="shared" si="48"/>
        <v>13.357975460122717</v>
      </c>
      <c r="V213" s="287">
        <f t="shared" si="49"/>
        <v>-56973</v>
      </c>
      <c r="W213" s="340"/>
      <c r="X213" s="236">
        <f t="shared" si="50"/>
        <v>-27509.792284866468</v>
      </c>
      <c r="Y213" s="253">
        <f t="shared" si="51"/>
        <v>-29463.207715133532</v>
      </c>
    </row>
    <row r="214" spans="1:25" x14ac:dyDescent="0.25">
      <c r="A214" s="111">
        <f>Données!A214</f>
        <v>5749</v>
      </c>
      <c r="B214" s="119" t="str">
        <f>Données!B214</f>
        <v>Chavornay</v>
      </c>
      <c r="C214" s="252">
        <f>Données!C214</f>
        <v>5374</v>
      </c>
      <c r="D214" s="265"/>
      <c r="E214" s="249">
        <f>Données!X214</f>
        <v>1880</v>
      </c>
      <c r="F214" s="286">
        <f t="shared" si="39"/>
        <v>0.34983252698176404</v>
      </c>
      <c r="G214" s="265">
        <f t="shared" si="40"/>
        <v>4108.8432573891623</v>
      </c>
      <c r="H214" s="273">
        <f t="shared" si="46"/>
        <v>0</v>
      </c>
      <c r="I214" s="287">
        <f t="shared" si="47"/>
        <v>0</v>
      </c>
      <c r="J214" s="265"/>
      <c r="K214" s="274">
        <f>Données!Y214</f>
        <v>0</v>
      </c>
      <c r="L214" s="441">
        <f>Données!Z214</f>
        <v>4.2999999999999997E-2</v>
      </c>
      <c r="M214" s="265">
        <f t="shared" si="41"/>
        <v>25.217309594460929</v>
      </c>
      <c r="N214" s="287">
        <f t="shared" si="42"/>
        <v>0</v>
      </c>
      <c r="O214" s="265"/>
      <c r="P214" s="249">
        <f>Données!AA214</f>
        <v>712</v>
      </c>
      <c r="Q214" s="284">
        <f>Données!AB214</f>
        <v>111</v>
      </c>
      <c r="R214" s="236">
        <f t="shared" si="43"/>
        <v>728.65</v>
      </c>
      <c r="S214" s="288">
        <f t="shared" si="44"/>
        <v>0.13558801637513956</v>
      </c>
      <c r="T214" s="273">
        <f t="shared" si="45"/>
        <v>731.91901840490766</v>
      </c>
      <c r="U214" s="273">
        <f t="shared" si="48"/>
        <v>0</v>
      </c>
      <c r="V214" s="287">
        <f t="shared" si="49"/>
        <v>0</v>
      </c>
      <c r="W214" s="340"/>
      <c r="X214" s="236">
        <f t="shared" si="50"/>
        <v>0</v>
      </c>
      <c r="Y214" s="253">
        <f t="shared" si="51"/>
        <v>0</v>
      </c>
    </row>
    <row r="215" spans="1:25" x14ac:dyDescent="0.25">
      <c r="A215" s="111">
        <f>Données!A215</f>
        <v>5750</v>
      </c>
      <c r="B215" s="119" t="str">
        <f>Données!B215</f>
        <v>Les Clées</v>
      </c>
      <c r="C215" s="252">
        <f>Données!C215</f>
        <v>195</v>
      </c>
      <c r="D215" s="265"/>
      <c r="E215" s="249">
        <f>Données!X215</f>
        <v>692</v>
      </c>
      <c r="F215" s="286">
        <f t="shared" si="39"/>
        <v>3.5487179487179485</v>
      </c>
      <c r="G215" s="265">
        <f t="shared" si="40"/>
        <v>149.09274938423644</v>
      </c>
      <c r="H215" s="273">
        <f t="shared" si="46"/>
        <v>542.90725061576359</v>
      </c>
      <c r="I215" s="287">
        <f t="shared" si="47"/>
        <v>-57889</v>
      </c>
      <c r="J215" s="265"/>
      <c r="K215" s="274">
        <f>Données!Y215</f>
        <v>0</v>
      </c>
      <c r="L215" s="441">
        <f>Données!Z215</f>
        <v>0.35199999999999998</v>
      </c>
      <c r="M215" s="265">
        <f t="shared" si="41"/>
        <v>206.43006923837783</v>
      </c>
      <c r="N215" s="287">
        <f t="shared" si="42"/>
        <v>0</v>
      </c>
      <c r="O215" s="265"/>
      <c r="P215" s="249">
        <f>Données!AA215</f>
        <v>23</v>
      </c>
      <c r="Q215" s="284">
        <f>Données!AB215</f>
        <v>23</v>
      </c>
      <c r="R215" s="236">
        <f t="shared" si="43"/>
        <v>26.45</v>
      </c>
      <c r="S215" s="288">
        <f t="shared" si="44"/>
        <v>0.13564102564102565</v>
      </c>
      <c r="T215" s="273">
        <f t="shared" si="45"/>
        <v>26.558282208588945</v>
      </c>
      <c r="U215" s="273">
        <f t="shared" si="48"/>
        <v>0</v>
      </c>
      <c r="V215" s="287">
        <f t="shared" si="49"/>
        <v>0</v>
      </c>
      <c r="W215" s="340"/>
      <c r="X215" s="236">
        <f t="shared" si="50"/>
        <v>0</v>
      </c>
      <c r="Y215" s="253">
        <f t="shared" si="51"/>
        <v>0</v>
      </c>
    </row>
    <row r="216" spans="1:25" x14ac:dyDescent="0.25">
      <c r="A216" s="111">
        <f>Données!A216</f>
        <v>5752</v>
      </c>
      <c r="B216" s="119" t="str">
        <f>Données!B216</f>
        <v>Croy</v>
      </c>
      <c r="C216" s="252">
        <f>Données!C216</f>
        <v>408</v>
      </c>
      <c r="D216" s="265"/>
      <c r="E216" s="249">
        <f>Données!X216</f>
        <v>451</v>
      </c>
      <c r="F216" s="286">
        <f t="shared" si="39"/>
        <v>1.1053921568627452</v>
      </c>
      <c r="G216" s="265">
        <f t="shared" si="40"/>
        <v>311.94790640394086</v>
      </c>
      <c r="H216" s="273">
        <f t="shared" si="46"/>
        <v>139.05209359605914</v>
      </c>
      <c r="I216" s="287">
        <f t="shared" si="47"/>
        <v>-14827</v>
      </c>
      <c r="J216" s="265"/>
      <c r="K216" s="274">
        <f>Données!Y216</f>
        <v>0</v>
      </c>
      <c r="L216" s="441">
        <f>Données!Z216</f>
        <v>0.13500000000000001</v>
      </c>
      <c r="M216" s="265">
        <f t="shared" si="41"/>
        <v>79.170623145400597</v>
      </c>
      <c r="N216" s="287">
        <f t="shared" si="42"/>
        <v>0</v>
      </c>
      <c r="O216" s="265"/>
      <c r="P216" s="249">
        <f>Données!AA216</f>
        <v>42</v>
      </c>
      <c r="Q216" s="284">
        <f>Données!AB216</f>
        <v>35</v>
      </c>
      <c r="R216" s="236">
        <f t="shared" si="43"/>
        <v>47.25</v>
      </c>
      <c r="S216" s="288">
        <f t="shared" si="44"/>
        <v>0.11580882352941177</v>
      </c>
      <c r="T216" s="273">
        <f t="shared" si="45"/>
        <v>55.568098159509177</v>
      </c>
      <c r="U216" s="273">
        <f t="shared" si="48"/>
        <v>0</v>
      </c>
      <c r="V216" s="287">
        <f t="shared" si="49"/>
        <v>0</v>
      </c>
      <c r="W216" s="340"/>
      <c r="X216" s="236">
        <f t="shared" si="50"/>
        <v>0</v>
      </c>
      <c r="Y216" s="253">
        <f t="shared" si="51"/>
        <v>0</v>
      </c>
    </row>
    <row r="217" spans="1:25" x14ac:dyDescent="0.25">
      <c r="A217" s="111">
        <f>Données!A217</f>
        <v>5754</v>
      </c>
      <c r="B217" s="119" t="str">
        <f>Données!B217</f>
        <v>Juriens</v>
      </c>
      <c r="C217" s="252">
        <f>Données!C217</f>
        <v>345</v>
      </c>
      <c r="D217" s="265"/>
      <c r="E217" s="249">
        <f>Données!X217</f>
        <v>932</v>
      </c>
      <c r="F217" s="286">
        <f t="shared" si="39"/>
        <v>2.7014492753623189</v>
      </c>
      <c r="G217" s="265">
        <f t="shared" si="40"/>
        <v>263.77947967980293</v>
      </c>
      <c r="H217" s="273">
        <f t="shared" si="46"/>
        <v>668.22052032019701</v>
      </c>
      <c r="I217" s="287">
        <f t="shared" si="47"/>
        <v>-71250</v>
      </c>
      <c r="J217" s="265"/>
      <c r="K217" s="274">
        <f>Données!Y217</f>
        <v>345</v>
      </c>
      <c r="L217" s="441">
        <f>Données!Z217</f>
        <v>0.152</v>
      </c>
      <c r="M217" s="265">
        <f t="shared" si="41"/>
        <v>89.14025717111771</v>
      </c>
      <c r="N217" s="287">
        <f t="shared" si="42"/>
        <v>-30753</v>
      </c>
      <c r="O217" s="265"/>
      <c r="P217" s="249">
        <f>Données!AA217</f>
        <v>37</v>
      </c>
      <c r="Q217" s="284">
        <f>Données!AB217</f>
        <v>27</v>
      </c>
      <c r="R217" s="236">
        <f t="shared" si="43"/>
        <v>41.05</v>
      </c>
      <c r="S217" s="288">
        <f t="shared" si="44"/>
        <v>0.1189855072463768</v>
      </c>
      <c r="T217" s="273">
        <f t="shared" si="45"/>
        <v>46.987730061349673</v>
      </c>
      <c r="U217" s="273">
        <f t="shared" si="48"/>
        <v>0</v>
      </c>
      <c r="V217" s="287">
        <f t="shared" si="49"/>
        <v>0</v>
      </c>
      <c r="W217" s="340"/>
      <c r="X217" s="236">
        <f t="shared" si="50"/>
        <v>0</v>
      </c>
      <c r="Y217" s="253">
        <f t="shared" si="51"/>
        <v>0</v>
      </c>
    </row>
    <row r="218" spans="1:25" x14ac:dyDescent="0.25">
      <c r="A218" s="111">
        <f>Données!A218</f>
        <v>5755</v>
      </c>
      <c r="B218" s="119" t="str">
        <f>Données!B218</f>
        <v>Lignerolle</v>
      </c>
      <c r="C218" s="252">
        <f>Données!C218</f>
        <v>452</v>
      </c>
      <c r="D218" s="265"/>
      <c r="E218" s="249">
        <f>Données!X218</f>
        <v>1060</v>
      </c>
      <c r="F218" s="286">
        <f t="shared" si="39"/>
        <v>2.3451327433628317</v>
      </c>
      <c r="G218" s="265">
        <f t="shared" si="40"/>
        <v>345.58934729064038</v>
      </c>
      <c r="H218" s="273">
        <f t="shared" si="46"/>
        <v>714.41065270935962</v>
      </c>
      <c r="I218" s="287">
        <f t="shared" si="47"/>
        <v>-76176</v>
      </c>
      <c r="J218" s="265"/>
      <c r="K218" s="274">
        <f>Données!Y218</f>
        <v>452</v>
      </c>
      <c r="L218" s="441">
        <f>Données!Z218</f>
        <v>0.25800000000000001</v>
      </c>
      <c r="M218" s="265">
        <f t="shared" si="41"/>
        <v>151.30385756676557</v>
      </c>
      <c r="N218" s="287">
        <f t="shared" si="42"/>
        <v>-68389</v>
      </c>
      <c r="O218" s="265"/>
      <c r="P218" s="249">
        <f>Données!AA218</f>
        <v>65</v>
      </c>
      <c r="Q218" s="284">
        <f>Données!AB218</f>
        <v>65</v>
      </c>
      <c r="R218" s="236">
        <f t="shared" si="43"/>
        <v>74.75</v>
      </c>
      <c r="S218" s="288">
        <f t="shared" si="44"/>
        <v>0.16537610619469026</v>
      </c>
      <c r="T218" s="273">
        <f t="shared" si="45"/>
        <v>61.560736196318992</v>
      </c>
      <c r="U218" s="273">
        <f t="shared" si="48"/>
        <v>13.189263803681008</v>
      </c>
      <c r="V218" s="287">
        <f t="shared" si="49"/>
        <v>-56253</v>
      </c>
      <c r="W218" s="340"/>
      <c r="X218" s="236">
        <f t="shared" si="50"/>
        <v>-41584.569732937685</v>
      </c>
      <c r="Y218" s="253">
        <f t="shared" si="51"/>
        <v>-14668.430267062315</v>
      </c>
    </row>
    <row r="219" spans="1:25" x14ac:dyDescent="0.25">
      <c r="A219" s="111">
        <f>Données!A219</f>
        <v>5756</v>
      </c>
      <c r="B219" s="119" t="str">
        <f>Données!B219</f>
        <v>Montcherand</v>
      </c>
      <c r="C219" s="252">
        <f>Données!C219</f>
        <v>494</v>
      </c>
      <c r="D219" s="265"/>
      <c r="E219" s="249">
        <f>Données!X219</f>
        <v>299</v>
      </c>
      <c r="F219" s="286">
        <f t="shared" si="39"/>
        <v>0.60526315789473684</v>
      </c>
      <c r="G219" s="265">
        <f t="shared" si="40"/>
        <v>377.70163177339901</v>
      </c>
      <c r="H219" s="273">
        <f t="shared" si="46"/>
        <v>0</v>
      </c>
      <c r="I219" s="287">
        <f t="shared" si="47"/>
        <v>0</v>
      </c>
      <c r="J219" s="265"/>
      <c r="K219" s="274">
        <f>Données!Y219</f>
        <v>0</v>
      </c>
      <c r="L219" s="441">
        <f>Données!Z219</f>
        <v>0.128</v>
      </c>
      <c r="M219" s="265">
        <f t="shared" si="41"/>
        <v>75.065479723046494</v>
      </c>
      <c r="N219" s="287">
        <f t="shared" si="42"/>
        <v>0</v>
      </c>
      <c r="O219" s="265"/>
      <c r="P219" s="249">
        <f>Données!AA219</f>
        <v>60</v>
      </c>
      <c r="Q219" s="284">
        <f>Données!AB219</f>
        <v>1</v>
      </c>
      <c r="R219" s="236">
        <f t="shared" si="43"/>
        <v>60.15</v>
      </c>
      <c r="S219" s="288">
        <f t="shared" si="44"/>
        <v>0.12176113360323887</v>
      </c>
      <c r="T219" s="273">
        <f t="shared" si="45"/>
        <v>67.280981595091987</v>
      </c>
      <c r="U219" s="273">
        <f t="shared" si="48"/>
        <v>0</v>
      </c>
      <c r="V219" s="287">
        <f t="shared" si="49"/>
        <v>0</v>
      </c>
      <c r="W219" s="340"/>
      <c r="X219" s="236">
        <f t="shared" si="50"/>
        <v>0</v>
      </c>
      <c r="Y219" s="253">
        <f t="shared" si="51"/>
        <v>0</v>
      </c>
    </row>
    <row r="220" spans="1:25" x14ac:dyDescent="0.25">
      <c r="A220" s="111">
        <f>Données!A220</f>
        <v>5757</v>
      </c>
      <c r="B220" s="119" t="str">
        <f>Données!B220</f>
        <v>Orbe</v>
      </c>
      <c r="C220" s="252">
        <f>Données!C220</f>
        <v>8008</v>
      </c>
      <c r="D220" s="265"/>
      <c r="E220" s="249">
        <f>Données!X220</f>
        <v>1162</v>
      </c>
      <c r="F220" s="286">
        <f t="shared" si="39"/>
        <v>0.1451048951048951</v>
      </c>
      <c r="G220" s="265">
        <f t="shared" si="40"/>
        <v>6122.7422413793101</v>
      </c>
      <c r="H220" s="273">
        <f t="shared" si="46"/>
        <v>0</v>
      </c>
      <c r="I220" s="287">
        <f t="shared" si="47"/>
        <v>0</v>
      </c>
      <c r="J220" s="265"/>
      <c r="K220" s="274">
        <f>Données!Y220</f>
        <v>0</v>
      </c>
      <c r="L220" s="441">
        <f>Données!Z220</f>
        <v>4.4999999999999998E-2</v>
      </c>
      <c r="M220" s="265">
        <f t="shared" si="41"/>
        <v>26.390207715133531</v>
      </c>
      <c r="N220" s="287">
        <f t="shared" si="42"/>
        <v>0</v>
      </c>
      <c r="O220" s="265"/>
      <c r="P220" s="249">
        <f>Données!AA220</f>
        <v>1020</v>
      </c>
      <c r="Q220" s="284">
        <f>Données!AB220</f>
        <v>118</v>
      </c>
      <c r="R220" s="236">
        <f t="shared" si="43"/>
        <v>1037.7</v>
      </c>
      <c r="S220" s="288">
        <f t="shared" si="44"/>
        <v>0.12958291708291708</v>
      </c>
      <c r="T220" s="273">
        <f t="shared" si="45"/>
        <v>1090.660122699386</v>
      </c>
      <c r="U220" s="273">
        <f t="shared" si="48"/>
        <v>0</v>
      </c>
      <c r="V220" s="287">
        <f t="shared" si="49"/>
        <v>0</v>
      </c>
      <c r="W220" s="340"/>
      <c r="X220" s="236">
        <f t="shared" si="50"/>
        <v>0</v>
      </c>
      <c r="Y220" s="253">
        <f t="shared" si="51"/>
        <v>0</v>
      </c>
    </row>
    <row r="221" spans="1:25" x14ac:dyDescent="0.25">
      <c r="A221" s="111">
        <f>Données!A221</f>
        <v>5758</v>
      </c>
      <c r="B221" s="119" t="str">
        <f>Données!B221</f>
        <v>La Praz</v>
      </c>
      <c r="C221" s="252">
        <f>Données!C221</f>
        <v>214</v>
      </c>
      <c r="D221" s="265"/>
      <c r="E221" s="249">
        <f>Données!X221</f>
        <v>511</v>
      </c>
      <c r="F221" s="286">
        <f t="shared" si="39"/>
        <v>2.3878504672897196</v>
      </c>
      <c r="G221" s="265">
        <f t="shared" si="40"/>
        <v>163.61973522167489</v>
      </c>
      <c r="H221" s="273">
        <f t="shared" si="46"/>
        <v>347.38026477832511</v>
      </c>
      <c r="I221" s="287">
        <f t="shared" si="47"/>
        <v>-37040</v>
      </c>
      <c r="J221" s="265"/>
      <c r="K221" s="274">
        <f>Données!Y221</f>
        <v>214</v>
      </c>
      <c r="L221" s="441">
        <f>Données!Z221</f>
        <v>0.217</v>
      </c>
      <c r="M221" s="265">
        <f t="shared" si="41"/>
        <v>127.25944609297726</v>
      </c>
      <c r="N221" s="287">
        <f t="shared" si="42"/>
        <v>-27234</v>
      </c>
      <c r="O221" s="265"/>
      <c r="P221" s="249">
        <f>Données!AA221</f>
        <v>24</v>
      </c>
      <c r="Q221" s="284">
        <f>Données!AB221</f>
        <v>24</v>
      </c>
      <c r="R221" s="236">
        <f t="shared" si="43"/>
        <v>27.6</v>
      </c>
      <c r="S221" s="288">
        <f t="shared" si="44"/>
        <v>0.12897196261682245</v>
      </c>
      <c r="T221" s="273">
        <f t="shared" si="45"/>
        <v>29.146012269938637</v>
      </c>
      <c r="U221" s="273">
        <f t="shared" si="48"/>
        <v>0</v>
      </c>
      <c r="V221" s="287">
        <f t="shared" si="49"/>
        <v>0</v>
      </c>
      <c r="W221" s="340"/>
      <c r="X221" s="236">
        <f t="shared" si="50"/>
        <v>0</v>
      </c>
      <c r="Y221" s="253">
        <f t="shared" si="51"/>
        <v>0</v>
      </c>
    </row>
    <row r="222" spans="1:25" x14ac:dyDescent="0.25">
      <c r="A222" s="111">
        <f>Données!A222</f>
        <v>5759</v>
      </c>
      <c r="B222" s="119" t="str">
        <f>Données!B222</f>
        <v>Premier</v>
      </c>
      <c r="C222" s="252">
        <f>Données!C222</f>
        <v>233</v>
      </c>
      <c r="D222" s="265"/>
      <c r="E222" s="249">
        <f>Données!X222</f>
        <v>605</v>
      </c>
      <c r="F222" s="286">
        <f t="shared" si="39"/>
        <v>2.5965665236051501</v>
      </c>
      <c r="G222" s="265">
        <f t="shared" si="40"/>
        <v>178.1467210591133</v>
      </c>
      <c r="H222" s="273">
        <f t="shared" si="46"/>
        <v>426.8532789408867</v>
      </c>
      <c r="I222" s="287">
        <f t="shared" si="47"/>
        <v>-45514</v>
      </c>
      <c r="J222" s="265"/>
      <c r="K222" s="274">
        <f>Données!Y222</f>
        <v>233</v>
      </c>
      <c r="L222" s="441">
        <f>Données!Z222</f>
        <v>0.20899999999999999</v>
      </c>
      <c r="M222" s="265">
        <f t="shared" si="41"/>
        <v>122.56785361028685</v>
      </c>
      <c r="N222" s="287">
        <f t="shared" si="42"/>
        <v>-28558</v>
      </c>
      <c r="O222" s="265"/>
      <c r="P222" s="249">
        <f>Données!AA222</f>
        <v>34</v>
      </c>
      <c r="Q222" s="284">
        <f>Données!AB222</f>
        <v>34</v>
      </c>
      <c r="R222" s="236">
        <f t="shared" si="43"/>
        <v>39.1</v>
      </c>
      <c r="S222" s="288">
        <f t="shared" si="44"/>
        <v>0.16781115879828326</v>
      </c>
      <c r="T222" s="273">
        <f t="shared" si="45"/>
        <v>31.73374233128833</v>
      </c>
      <c r="U222" s="273">
        <f t="shared" si="48"/>
        <v>7.3662576687116719</v>
      </c>
      <c r="V222" s="287">
        <f t="shared" si="49"/>
        <v>-31418</v>
      </c>
      <c r="W222" s="340"/>
      <c r="X222" s="236">
        <f t="shared" si="50"/>
        <v>-21751.928783382788</v>
      </c>
      <c r="Y222" s="253">
        <f t="shared" si="51"/>
        <v>-9666.0712166172125</v>
      </c>
    </row>
    <row r="223" spans="1:25" x14ac:dyDescent="0.25">
      <c r="A223" s="111">
        <f>Données!A223</f>
        <v>5760</v>
      </c>
      <c r="B223" s="119" t="str">
        <f>Données!B223</f>
        <v>Rances</v>
      </c>
      <c r="C223" s="252">
        <f>Données!C223</f>
        <v>513</v>
      </c>
      <c r="D223" s="265"/>
      <c r="E223" s="249">
        <f>Données!X223</f>
        <v>982</v>
      </c>
      <c r="F223" s="286">
        <f t="shared" si="39"/>
        <v>1.9142300194931774</v>
      </c>
      <c r="G223" s="265">
        <f t="shared" si="40"/>
        <v>392.22861761083743</v>
      </c>
      <c r="H223" s="273">
        <f t="shared" si="46"/>
        <v>589.77138238916257</v>
      </c>
      <c r="I223" s="287">
        <f t="shared" si="47"/>
        <v>-62886</v>
      </c>
      <c r="J223" s="265"/>
      <c r="K223" s="274">
        <f>Données!Y223</f>
        <v>0</v>
      </c>
      <c r="L223" s="441">
        <f>Données!Z223</f>
        <v>0.26900000000000002</v>
      </c>
      <c r="M223" s="265">
        <f t="shared" si="41"/>
        <v>157.7547972304649</v>
      </c>
      <c r="N223" s="287">
        <f t="shared" si="42"/>
        <v>0</v>
      </c>
      <c r="O223" s="265"/>
      <c r="P223" s="249">
        <f>Données!AA223</f>
        <v>54</v>
      </c>
      <c r="Q223" s="284">
        <f>Données!AB223</f>
        <v>38</v>
      </c>
      <c r="R223" s="236">
        <f t="shared" si="43"/>
        <v>59.7</v>
      </c>
      <c r="S223" s="288">
        <f t="shared" si="44"/>
        <v>0.11637426900584796</v>
      </c>
      <c r="T223" s="273">
        <f t="shared" si="45"/>
        <v>69.86871165644169</v>
      </c>
      <c r="U223" s="273">
        <f t="shared" si="48"/>
        <v>0</v>
      </c>
      <c r="V223" s="287">
        <f t="shared" si="49"/>
        <v>0</v>
      </c>
      <c r="W223" s="340"/>
      <c r="X223" s="236">
        <f t="shared" si="50"/>
        <v>0</v>
      </c>
      <c r="Y223" s="253">
        <f t="shared" si="51"/>
        <v>0</v>
      </c>
    </row>
    <row r="224" spans="1:25" x14ac:dyDescent="0.25">
      <c r="A224" s="111">
        <f>Données!A224</f>
        <v>5761</v>
      </c>
      <c r="B224" s="119" t="str">
        <f>Données!B224</f>
        <v>Romainmôtier-Envy</v>
      </c>
      <c r="C224" s="252">
        <f>Données!C224</f>
        <v>579</v>
      </c>
      <c r="D224" s="265"/>
      <c r="E224" s="249">
        <f>Données!X224</f>
        <v>696</v>
      </c>
      <c r="F224" s="286">
        <f t="shared" si="39"/>
        <v>1.2020725388601037</v>
      </c>
      <c r="G224" s="265">
        <f t="shared" si="40"/>
        <v>442.69077894088667</v>
      </c>
      <c r="H224" s="273">
        <f t="shared" si="46"/>
        <v>253.30922105911333</v>
      </c>
      <c r="I224" s="287">
        <f t="shared" si="47"/>
        <v>-27010</v>
      </c>
      <c r="J224" s="265"/>
      <c r="K224" s="274">
        <f>Données!Y224</f>
        <v>7</v>
      </c>
      <c r="L224" s="441">
        <f>Données!Z224</f>
        <v>0.19400000000000001</v>
      </c>
      <c r="M224" s="265">
        <f t="shared" si="41"/>
        <v>113.77111770524235</v>
      </c>
      <c r="N224" s="287">
        <f t="shared" si="42"/>
        <v>-796</v>
      </c>
      <c r="O224" s="265"/>
      <c r="P224" s="249">
        <f>Données!AA224</f>
        <v>63</v>
      </c>
      <c r="Q224" s="284">
        <f>Données!AB224</f>
        <v>52</v>
      </c>
      <c r="R224" s="236">
        <f t="shared" si="43"/>
        <v>70.8</v>
      </c>
      <c r="S224" s="288">
        <f t="shared" si="44"/>
        <v>0.12227979274611399</v>
      </c>
      <c r="T224" s="273">
        <f t="shared" si="45"/>
        <v>78.857668711656402</v>
      </c>
      <c r="U224" s="273">
        <f t="shared" si="48"/>
        <v>0</v>
      </c>
      <c r="V224" s="287">
        <f t="shared" si="49"/>
        <v>0</v>
      </c>
      <c r="W224" s="340"/>
      <c r="X224" s="236">
        <f t="shared" si="50"/>
        <v>0</v>
      </c>
      <c r="Y224" s="253">
        <f t="shared" si="51"/>
        <v>0</v>
      </c>
    </row>
    <row r="225" spans="1:25" x14ac:dyDescent="0.25">
      <c r="A225" s="111">
        <f>Données!A225</f>
        <v>5762</v>
      </c>
      <c r="B225" s="119" t="str">
        <f>Données!B225</f>
        <v>Sergey</v>
      </c>
      <c r="C225" s="252">
        <f>Données!C225</f>
        <v>165</v>
      </c>
      <c r="D225" s="265"/>
      <c r="E225" s="249">
        <f>Données!X225</f>
        <v>147</v>
      </c>
      <c r="F225" s="286">
        <f t="shared" si="39"/>
        <v>0.89090909090909087</v>
      </c>
      <c r="G225" s="265">
        <f t="shared" si="40"/>
        <v>126.15540332512315</v>
      </c>
      <c r="H225" s="273">
        <f t="shared" si="46"/>
        <v>20.844596674876854</v>
      </c>
      <c r="I225" s="287">
        <f t="shared" si="47"/>
        <v>-2223</v>
      </c>
      <c r="J225" s="265"/>
      <c r="K225" s="274">
        <f>Données!Y225</f>
        <v>0</v>
      </c>
      <c r="L225" s="441">
        <f>Données!Z225</f>
        <v>0.06</v>
      </c>
      <c r="M225" s="265">
        <f t="shared" si="41"/>
        <v>35.186943620178042</v>
      </c>
      <c r="N225" s="287">
        <f t="shared" si="42"/>
        <v>0</v>
      </c>
      <c r="O225" s="265"/>
      <c r="P225" s="249">
        <f>Données!AA225</f>
        <v>18</v>
      </c>
      <c r="Q225" s="284">
        <f>Données!AB225</f>
        <v>7</v>
      </c>
      <c r="R225" s="236">
        <f t="shared" si="43"/>
        <v>19.05</v>
      </c>
      <c r="S225" s="288">
        <f t="shared" si="44"/>
        <v>0.11545454545454546</v>
      </c>
      <c r="T225" s="273">
        <f t="shared" si="45"/>
        <v>22.472392638036798</v>
      </c>
      <c r="U225" s="273">
        <f t="shared" si="48"/>
        <v>0</v>
      </c>
      <c r="V225" s="287">
        <f t="shared" si="49"/>
        <v>0</v>
      </c>
      <c r="W225" s="340"/>
      <c r="X225" s="236">
        <f t="shared" si="50"/>
        <v>0</v>
      </c>
      <c r="Y225" s="253">
        <f t="shared" si="51"/>
        <v>0</v>
      </c>
    </row>
    <row r="226" spans="1:25" x14ac:dyDescent="0.25">
      <c r="A226" s="111">
        <f>Données!A226</f>
        <v>5763</v>
      </c>
      <c r="B226" s="119" t="str">
        <f>Données!B226</f>
        <v>Valeyres-sous-Rances</v>
      </c>
      <c r="C226" s="252">
        <f>Données!C226</f>
        <v>573</v>
      </c>
      <c r="D226" s="265"/>
      <c r="E226" s="249">
        <f>Données!X226</f>
        <v>630</v>
      </c>
      <c r="F226" s="286">
        <f t="shared" si="39"/>
        <v>1.0994764397905759</v>
      </c>
      <c r="G226" s="265">
        <f t="shared" si="40"/>
        <v>438.10330972906405</v>
      </c>
      <c r="H226" s="273">
        <f t="shared" si="46"/>
        <v>191.89669027093595</v>
      </c>
      <c r="I226" s="287">
        <f t="shared" si="47"/>
        <v>-20461</v>
      </c>
      <c r="J226" s="265"/>
      <c r="K226" s="274">
        <f>Données!Y226</f>
        <v>0</v>
      </c>
      <c r="L226" s="441">
        <f>Données!Z226</f>
        <v>3.4000000000000002E-2</v>
      </c>
      <c r="M226" s="265">
        <f t="shared" si="41"/>
        <v>19.939268051434226</v>
      </c>
      <c r="N226" s="287">
        <f t="shared" si="42"/>
        <v>0</v>
      </c>
      <c r="O226" s="265"/>
      <c r="P226" s="249">
        <f>Données!AA226</f>
        <v>80</v>
      </c>
      <c r="Q226" s="284">
        <f>Données!AB226</f>
        <v>60</v>
      </c>
      <c r="R226" s="236">
        <f t="shared" si="43"/>
        <v>89</v>
      </c>
      <c r="S226" s="288">
        <f t="shared" si="44"/>
        <v>0.15532286212914484</v>
      </c>
      <c r="T226" s="273">
        <f t="shared" si="45"/>
        <v>78.040490797545971</v>
      </c>
      <c r="U226" s="273">
        <f t="shared" si="48"/>
        <v>10.959509202454029</v>
      </c>
      <c r="V226" s="287">
        <f t="shared" si="49"/>
        <v>-46743</v>
      </c>
      <c r="W226" s="340"/>
      <c r="X226" s="236">
        <f t="shared" si="50"/>
        <v>-38385.756676557859</v>
      </c>
      <c r="Y226" s="253">
        <f t="shared" si="51"/>
        <v>-8357.2433234421405</v>
      </c>
    </row>
    <row r="227" spans="1:25" x14ac:dyDescent="0.25">
      <c r="A227" s="111">
        <f>Données!A227</f>
        <v>5764</v>
      </c>
      <c r="B227" s="119" t="str">
        <f>Données!B227</f>
        <v>Vallorbe</v>
      </c>
      <c r="C227" s="252">
        <f>Données!C227</f>
        <v>4434</v>
      </c>
      <c r="D227" s="265"/>
      <c r="E227" s="249">
        <f>Données!X227</f>
        <v>2279</v>
      </c>
      <c r="F227" s="286">
        <f t="shared" si="39"/>
        <v>0.51398285972034286</v>
      </c>
      <c r="G227" s="265">
        <f t="shared" si="40"/>
        <v>3390.1397475369458</v>
      </c>
      <c r="H227" s="273">
        <f t="shared" si="46"/>
        <v>0</v>
      </c>
      <c r="I227" s="287">
        <f t="shared" si="47"/>
        <v>0</v>
      </c>
      <c r="J227" s="265"/>
      <c r="K227" s="274">
        <f>Données!Y227</f>
        <v>4434</v>
      </c>
      <c r="L227" s="441">
        <f>Données!Z227</f>
        <v>0.48199999999999998</v>
      </c>
      <c r="M227" s="265">
        <f t="shared" si="41"/>
        <v>282.66844708209692</v>
      </c>
      <c r="N227" s="287">
        <f t="shared" si="42"/>
        <v>-1253352</v>
      </c>
      <c r="O227" s="265"/>
      <c r="P227" s="249">
        <f>Données!AA227</f>
        <v>594</v>
      </c>
      <c r="Q227" s="284">
        <f>Données!AB227</f>
        <v>20</v>
      </c>
      <c r="R227" s="236">
        <f t="shared" si="43"/>
        <v>597</v>
      </c>
      <c r="S227" s="288">
        <f t="shared" si="44"/>
        <v>0.13464140730717186</v>
      </c>
      <c r="T227" s="273">
        <f t="shared" si="45"/>
        <v>603.89447852760702</v>
      </c>
      <c r="U227" s="273">
        <f t="shared" si="48"/>
        <v>0</v>
      </c>
      <c r="V227" s="287">
        <f t="shared" si="49"/>
        <v>0</v>
      </c>
      <c r="W227" s="340"/>
      <c r="X227" s="236">
        <f t="shared" si="50"/>
        <v>0</v>
      </c>
      <c r="Y227" s="253">
        <f t="shared" si="51"/>
        <v>0</v>
      </c>
    </row>
    <row r="228" spans="1:25" x14ac:dyDescent="0.25">
      <c r="A228" s="111">
        <f>Données!A228</f>
        <v>5765</v>
      </c>
      <c r="B228" s="119" t="str">
        <f>Données!B228</f>
        <v>Vaulion</v>
      </c>
      <c r="C228" s="252">
        <f>Données!C228</f>
        <v>500</v>
      </c>
      <c r="D228" s="265"/>
      <c r="E228" s="249">
        <f>Données!X228</f>
        <v>1315</v>
      </c>
      <c r="F228" s="286">
        <f t="shared" si="39"/>
        <v>2.63</v>
      </c>
      <c r="G228" s="265">
        <f t="shared" si="40"/>
        <v>382.28910098522169</v>
      </c>
      <c r="H228" s="273">
        <f t="shared" si="46"/>
        <v>932.71089901477831</v>
      </c>
      <c r="I228" s="287">
        <f t="shared" si="47"/>
        <v>-99452</v>
      </c>
      <c r="J228" s="265"/>
      <c r="K228" s="274">
        <f>Données!Y228</f>
        <v>500</v>
      </c>
      <c r="L228" s="441">
        <f>Données!Z228</f>
        <v>0.26900000000000002</v>
      </c>
      <c r="M228" s="265">
        <f t="shared" si="41"/>
        <v>157.7547972304649</v>
      </c>
      <c r="N228" s="287">
        <f t="shared" si="42"/>
        <v>-78877</v>
      </c>
      <c r="O228" s="265"/>
      <c r="P228" s="249">
        <f>Données!AA228</f>
        <v>63</v>
      </c>
      <c r="Q228" s="284">
        <f>Données!AB228</f>
        <v>29</v>
      </c>
      <c r="R228" s="236">
        <f t="shared" si="43"/>
        <v>67.349999999999994</v>
      </c>
      <c r="S228" s="288">
        <f t="shared" si="44"/>
        <v>0.13469999999999999</v>
      </c>
      <c r="T228" s="273">
        <f t="shared" si="45"/>
        <v>68.098159509202418</v>
      </c>
      <c r="U228" s="273">
        <f t="shared" si="48"/>
        <v>0</v>
      </c>
      <c r="V228" s="287">
        <f t="shared" si="49"/>
        <v>0</v>
      </c>
      <c r="W228" s="340"/>
      <c r="X228" s="236">
        <f t="shared" si="50"/>
        <v>0</v>
      </c>
      <c r="Y228" s="253">
        <f t="shared" si="51"/>
        <v>0</v>
      </c>
    </row>
    <row r="229" spans="1:25" x14ac:dyDescent="0.25">
      <c r="A229" s="111">
        <f>Données!A229</f>
        <v>5766</v>
      </c>
      <c r="B229" s="119" t="str">
        <f>Données!B229</f>
        <v>Vuiteboeuf</v>
      </c>
      <c r="C229" s="252">
        <f>Données!C229</f>
        <v>616</v>
      </c>
      <c r="D229" s="265"/>
      <c r="E229" s="249">
        <f>Données!X229</f>
        <v>509</v>
      </c>
      <c r="F229" s="286">
        <f t="shared" si="39"/>
        <v>0.82629870129870131</v>
      </c>
      <c r="G229" s="265">
        <f t="shared" si="40"/>
        <v>470.98017241379313</v>
      </c>
      <c r="H229" s="273">
        <f t="shared" si="46"/>
        <v>38.019827586206873</v>
      </c>
      <c r="I229" s="287">
        <f t="shared" si="47"/>
        <v>-4054</v>
      </c>
      <c r="J229" s="265"/>
      <c r="K229" s="274">
        <f>Données!Y229</f>
        <v>0</v>
      </c>
      <c r="L229" s="441">
        <f>Données!Z229</f>
        <v>0.217</v>
      </c>
      <c r="M229" s="265">
        <f t="shared" si="41"/>
        <v>127.25944609297726</v>
      </c>
      <c r="N229" s="287">
        <f t="shared" si="42"/>
        <v>0</v>
      </c>
      <c r="O229" s="265"/>
      <c r="P229" s="249">
        <f>Données!AA229</f>
        <v>70</v>
      </c>
      <c r="Q229" s="284">
        <f>Données!AB229</f>
        <v>70</v>
      </c>
      <c r="R229" s="236">
        <f t="shared" si="43"/>
        <v>80.5</v>
      </c>
      <c r="S229" s="288">
        <f t="shared" si="44"/>
        <v>0.13068181818181818</v>
      </c>
      <c r="T229" s="273">
        <f t="shared" si="45"/>
        <v>83.896932515337383</v>
      </c>
      <c r="U229" s="273">
        <f t="shared" si="48"/>
        <v>0</v>
      </c>
      <c r="V229" s="287">
        <f t="shared" si="49"/>
        <v>0</v>
      </c>
      <c r="W229" s="340"/>
      <c r="X229" s="236">
        <f t="shared" si="50"/>
        <v>0</v>
      </c>
      <c r="Y229" s="253">
        <f t="shared" si="51"/>
        <v>0</v>
      </c>
    </row>
    <row r="230" spans="1:25" x14ac:dyDescent="0.25">
      <c r="A230" s="111">
        <f>Données!A230</f>
        <v>5785</v>
      </c>
      <c r="B230" s="119" t="str">
        <f>Données!B230</f>
        <v>Corcelles-le-Jorat</v>
      </c>
      <c r="C230" s="252">
        <f>Données!C230</f>
        <v>495</v>
      </c>
      <c r="D230" s="265"/>
      <c r="E230" s="249">
        <f>Données!X230</f>
        <v>793</v>
      </c>
      <c r="F230" s="286">
        <f t="shared" si="39"/>
        <v>1.6020202020202021</v>
      </c>
      <c r="G230" s="265">
        <f t="shared" si="40"/>
        <v>378.46620997536945</v>
      </c>
      <c r="H230" s="273">
        <f t="shared" si="46"/>
        <v>414.53379002463055</v>
      </c>
      <c r="I230" s="287">
        <f t="shared" si="47"/>
        <v>-44201</v>
      </c>
      <c r="J230" s="265"/>
      <c r="K230" s="274">
        <f>Données!Y230</f>
        <v>495</v>
      </c>
      <c r="L230" s="441">
        <f>Données!Z230</f>
        <v>6.6000000000000003E-2</v>
      </c>
      <c r="M230" s="265">
        <f t="shared" si="41"/>
        <v>38.705637982195846</v>
      </c>
      <c r="N230" s="287">
        <f t="shared" si="42"/>
        <v>-19159</v>
      </c>
      <c r="O230" s="265"/>
      <c r="P230" s="249">
        <f>Données!AA230</f>
        <v>60</v>
      </c>
      <c r="Q230" s="284">
        <f>Données!AB230</f>
        <v>60</v>
      </c>
      <c r="R230" s="236">
        <f t="shared" si="43"/>
        <v>69</v>
      </c>
      <c r="S230" s="288">
        <f t="shared" si="44"/>
        <v>0.1393939393939394</v>
      </c>
      <c r="T230" s="273">
        <f t="shared" si="45"/>
        <v>67.417177914110397</v>
      </c>
      <c r="U230" s="273">
        <f t="shared" si="48"/>
        <v>1.5828220858896032</v>
      </c>
      <c r="V230" s="287">
        <f t="shared" si="49"/>
        <v>-6751</v>
      </c>
      <c r="W230" s="340"/>
      <c r="X230" s="236">
        <f t="shared" si="50"/>
        <v>-6751</v>
      </c>
      <c r="Y230" s="253">
        <f t="shared" si="51"/>
        <v>0</v>
      </c>
    </row>
    <row r="231" spans="1:25" x14ac:dyDescent="0.25">
      <c r="A231" s="111">
        <f>Données!A231</f>
        <v>5790</v>
      </c>
      <c r="B231" s="119" t="str">
        <f>Données!B231</f>
        <v>Maracon</v>
      </c>
      <c r="C231" s="252">
        <f>Données!C231</f>
        <v>565</v>
      </c>
      <c r="D231" s="265"/>
      <c r="E231" s="249">
        <f>Données!X231</f>
        <v>428</v>
      </c>
      <c r="F231" s="286">
        <f t="shared" si="39"/>
        <v>0.75752212389380535</v>
      </c>
      <c r="G231" s="265">
        <f t="shared" si="40"/>
        <v>431.9866841133005</v>
      </c>
      <c r="H231" s="273">
        <f t="shared" si="46"/>
        <v>0</v>
      </c>
      <c r="I231" s="287">
        <f t="shared" si="47"/>
        <v>0</v>
      </c>
      <c r="J231" s="265"/>
      <c r="K231" s="274">
        <f>Données!Y231</f>
        <v>565</v>
      </c>
      <c r="L231" s="441">
        <f>Données!Z231</f>
        <v>6.6000000000000003E-2</v>
      </c>
      <c r="M231" s="265">
        <f t="shared" si="41"/>
        <v>38.705637982195846</v>
      </c>
      <c r="N231" s="287">
        <f t="shared" si="42"/>
        <v>-21869</v>
      </c>
      <c r="O231" s="265"/>
      <c r="P231" s="249">
        <f>Données!AA231</f>
        <v>72</v>
      </c>
      <c r="Q231" s="284">
        <f>Données!AB231</f>
        <v>72</v>
      </c>
      <c r="R231" s="236">
        <f t="shared" si="43"/>
        <v>82.8</v>
      </c>
      <c r="S231" s="288">
        <f t="shared" si="44"/>
        <v>0.14654867256637166</v>
      </c>
      <c r="T231" s="273">
        <f t="shared" si="45"/>
        <v>76.950920245398734</v>
      </c>
      <c r="U231" s="273">
        <f t="shared" si="48"/>
        <v>5.8490797546012629</v>
      </c>
      <c r="V231" s="287">
        <f t="shared" si="49"/>
        <v>-24947</v>
      </c>
      <c r="W231" s="340"/>
      <c r="X231" s="236">
        <f t="shared" si="50"/>
        <v>-24947</v>
      </c>
      <c r="Y231" s="253">
        <f t="shared" si="51"/>
        <v>0</v>
      </c>
    </row>
    <row r="232" spans="1:25" x14ac:dyDescent="0.25">
      <c r="A232" s="111">
        <f>Données!A232</f>
        <v>5792</v>
      </c>
      <c r="B232" s="119" t="str">
        <f>Données!B232</f>
        <v>Montpreveyres</v>
      </c>
      <c r="C232" s="252">
        <f>Données!C232</f>
        <v>670</v>
      </c>
      <c r="D232" s="265"/>
      <c r="E232" s="249">
        <f>Données!X232</f>
        <v>414</v>
      </c>
      <c r="F232" s="286">
        <f t="shared" si="39"/>
        <v>0.61791044776119408</v>
      </c>
      <c r="G232" s="265">
        <f t="shared" si="40"/>
        <v>512.26739532019701</v>
      </c>
      <c r="H232" s="273">
        <f t="shared" si="46"/>
        <v>0</v>
      </c>
      <c r="I232" s="287">
        <f t="shared" si="47"/>
        <v>0</v>
      </c>
      <c r="J232" s="265"/>
      <c r="K232" s="274">
        <f>Données!Y232</f>
        <v>670</v>
      </c>
      <c r="L232" s="441">
        <f>Données!Z232</f>
        <v>9.5000000000000001E-2</v>
      </c>
      <c r="M232" s="265">
        <f t="shared" si="41"/>
        <v>55.712660731948567</v>
      </c>
      <c r="N232" s="287">
        <f t="shared" si="42"/>
        <v>-37327</v>
      </c>
      <c r="O232" s="265"/>
      <c r="P232" s="249">
        <f>Données!AA232</f>
        <v>62</v>
      </c>
      <c r="Q232" s="284">
        <f>Données!AB232</f>
        <v>62</v>
      </c>
      <c r="R232" s="236">
        <f t="shared" si="43"/>
        <v>71.3</v>
      </c>
      <c r="S232" s="288">
        <f t="shared" si="44"/>
        <v>0.10641791044776119</v>
      </c>
      <c r="T232" s="273">
        <f t="shared" si="45"/>
        <v>91.251533742331247</v>
      </c>
      <c r="U232" s="273">
        <f t="shared" si="48"/>
        <v>0</v>
      </c>
      <c r="V232" s="287">
        <f t="shared" si="49"/>
        <v>0</v>
      </c>
      <c r="W232" s="340"/>
      <c r="X232" s="236">
        <f t="shared" si="50"/>
        <v>0</v>
      </c>
      <c r="Y232" s="253">
        <f t="shared" si="51"/>
        <v>0</v>
      </c>
    </row>
    <row r="233" spans="1:25" x14ac:dyDescent="0.25">
      <c r="A233" s="111">
        <f>Données!A233</f>
        <v>5798</v>
      </c>
      <c r="B233" s="119" t="str">
        <f>Données!B233</f>
        <v>Ropraz</v>
      </c>
      <c r="C233" s="252">
        <f>Données!C233</f>
        <v>535</v>
      </c>
      <c r="D233" s="265"/>
      <c r="E233" s="249">
        <f>Données!X233</f>
        <v>474</v>
      </c>
      <c r="F233" s="286">
        <f t="shared" si="39"/>
        <v>0.88598130841121492</v>
      </c>
      <c r="G233" s="265">
        <f t="shared" si="40"/>
        <v>409.04933805418722</v>
      </c>
      <c r="H233" s="273">
        <f t="shared" si="46"/>
        <v>64.950661945812783</v>
      </c>
      <c r="I233" s="287">
        <f t="shared" si="47"/>
        <v>-6926</v>
      </c>
      <c r="J233" s="265"/>
      <c r="K233" s="274">
        <f>Données!Y233</f>
        <v>403</v>
      </c>
      <c r="L233" s="441">
        <f>Données!Z233</f>
        <v>0.123</v>
      </c>
      <c r="M233" s="265">
        <f t="shared" si="41"/>
        <v>72.133234421364989</v>
      </c>
      <c r="N233" s="287">
        <f t="shared" si="42"/>
        <v>-29070</v>
      </c>
      <c r="O233" s="265"/>
      <c r="P233" s="249">
        <f>Données!AA233</f>
        <v>75</v>
      </c>
      <c r="Q233" s="284">
        <f>Données!AB233</f>
        <v>60</v>
      </c>
      <c r="R233" s="236">
        <f t="shared" si="43"/>
        <v>84</v>
      </c>
      <c r="S233" s="288">
        <f t="shared" si="44"/>
        <v>0.15700934579439252</v>
      </c>
      <c r="T233" s="273">
        <f t="shared" si="45"/>
        <v>72.865030674846594</v>
      </c>
      <c r="U233" s="273">
        <f t="shared" si="48"/>
        <v>11.134969325153406</v>
      </c>
      <c r="V233" s="287">
        <f t="shared" si="49"/>
        <v>-47492</v>
      </c>
      <c r="W233" s="340"/>
      <c r="X233" s="236">
        <f t="shared" si="50"/>
        <v>-38385.756676557859</v>
      </c>
      <c r="Y233" s="253">
        <f t="shared" si="51"/>
        <v>-9106.2433234421405</v>
      </c>
    </row>
    <row r="234" spans="1:25" x14ac:dyDescent="0.25">
      <c r="A234" s="111">
        <f>Données!A234</f>
        <v>5799</v>
      </c>
      <c r="B234" s="119" t="str">
        <f>Données!B234</f>
        <v>Servion</v>
      </c>
      <c r="C234" s="252">
        <f>Données!C234</f>
        <v>2241</v>
      </c>
      <c r="D234" s="265"/>
      <c r="E234" s="249">
        <f>Données!X234</f>
        <v>628</v>
      </c>
      <c r="F234" s="286">
        <f t="shared" si="39"/>
        <v>0.28023203926818385</v>
      </c>
      <c r="G234" s="265">
        <f t="shared" si="40"/>
        <v>1713.4197506157636</v>
      </c>
      <c r="H234" s="273">
        <f t="shared" si="46"/>
        <v>0</v>
      </c>
      <c r="I234" s="287">
        <f t="shared" si="47"/>
        <v>0</v>
      </c>
      <c r="J234" s="265"/>
      <c r="K234" s="274">
        <f>Données!Y234</f>
        <v>2241</v>
      </c>
      <c r="L234" s="441">
        <f>Données!Z234</f>
        <v>6.7000000000000004E-2</v>
      </c>
      <c r="M234" s="265">
        <f t="shared" si="41"/>
        <v>39.292087042532152</v>
      </c>
      <c r="N234" s="287">
        <f t="shared" si="42"/>
        <v>-88054</v>
      </c>
      <c r="O234" s="265"/>
      <c r="P234" s="249">
        <f>Données!AA234</f>
        <v>304</v>
      </c>
      <c r="Q234" s="284">
        <f>Données!AB234</f>
        <v>196</v>
      </c>
      <c r="R234" s="236">
        <f t="shared" si="43"/>
        <v>333.4</v>
      </c>
      <c r="S234" s="288">
        <f t="shared" si="44"/>
        <v>0.14877286925479696</v>
      </c>
      <c r="T234" s="273">
        <f t="shared" si="45"/>
        <v>305.21595092024523</v>
      </c>
      <c r="U234" s="273">
        <f t="shared" si="48"/>
        <v>28.184049079754743</v>
      </c>
      <c r="V234" s="287">
        <f t="shared" si="49"/>
        <v>-120207</v>
      </c>
      <c r="W234" s="340"/>
      <c r="X234" s="236">
        <f t="shared" si="50"/>
        <v>-120207</v>
      </c>
      <c r="Y234" s="253">
        <f t="shared" si="51"/>
        <v>0</v>
      </c>
    </row>
    <row r="235" spans="1:25" x14ac:dyDescent="0.25">
      <c r="A235" s="111">
        <f>Données!A235</f>
        <v>5803</v>
      </c>
      <c r="B235" s="119" t="str">
        <f>Données!B235</f>
        <v>Vulliens</v>
      </c>
      <c r="C235" s="252">
        <f>Données!C235</f>
        <v>630</v>
      </c>
      <c r="D235" s="265"/>
      <c r="E235" s="249">
        <f>Données!X235</f>
        <v>653</v>
      </c>
      <c r="F235" s="286">
        <f t="shared" si="39"/>
        <v>1.0365079365079366</v>
      </c>
      <c r="G235" s="265">
        <f t="shared" si="40"/>
        <v>481.6842672413793</v>
      </c>
      <c r="H235" s="273">
        <f t="shared" si="46"/>
        <v>171.3157327586207</v>
      </c>
      <c r="I235" s="287">
        <f t="shared" si="47"/>
        <v>-18267</v>
      </c>
      <c r="J235" s="265"/>
      <c r="K235" s="274">
        <f>Données!Y235</f>
        <v>39</v>
      </c>
      <c r="L235" s="441">
        <f>Données!Z235</f>
        <v>0.111</v>
      </c>
      <c r="M235" s="265">
        <f t="shared" si="41"/>
        <v>65.095845697329381</v>
      </c>
      <c r="N235" s="287">
        <f t="shared" si="42"/>
        <v>-2539</v>
      </c>
      <c r="O235" s="265"/>
      <c r="P235" s="249">
        <f>Données!AA235</f>
        <v>82</v>
      </c>
      <c r="Q235" s="284">
        <f>Données!AB235</f>
        <v>67</v>
      </c>
      <c r="R235" s="236">
        <f t="shared" si="43"/>
        <v>92.05</v>
      </c>
      <c r="S235" s="288">
        <f t="shared" si="44"/>
        <v>0.14611111111111111</v>
      </c>
      <c r="T235" s="273">
        <f t="shared" si="45"/>
        <v>85.803680981595051</v>
      </c>
      <c r="U235" s="273">
        <f t="shared" si="48"/>
        <v>6.2463190184049466</v>
      </c>
      <c r="V235" s="287">
        <f t="shared" si="49"/>
        <v>-26641</v>
      </c>
      <c r="W235" s="340"/>
      <c r="X235" s="236">
        <f t="shared" si="50"/>
        <v>-26641</v>
      </c>
      <c r="Y235" s="253">
        <f t="shared" si="51"/>
        <v>0</v>
      </c>
    </row>
    <row r="236" spans="1:25" x14ac:dyDescent="0.25">
      <c r="A236" s="111">
        <f>Données!A236</f>
        <v>5804</v>
      </c>
      <c r="B236" s="119" t="str">
        <f>Données!B236</f>
        <v>Jorat-Menthue</v>
      </c>
      <c r="C236" s="252">
        <f>Données!C236</f>
        <v>1564</v>
      </c>
      <c r="D236" s="265"/>
      <c r="E236" s="249">
        <f>Données!X236</f>
        <v>1768</v>
      </c>
      <c r="F236" s="286">
        <f t="shared" si="39"/>
        <v>1.1304347826086956</v>
      </c>
      <c r="G236" s="265">
        <f t="shared" si="40"/>
        <v>1195.8003078817735</v>
      </c>
      <c r="H236" s="273">
        <f t="shared" si="46"/>
        <v>572.19969211822649</v>
      </c>
      <c r="I236" s="287">
        <f t="shared" si="47"/>
        <v>-61012</v>
      </c>
      <c r="J236" s="265"/>
      <c r="K236" s="274">
        <f>Données!Y236</f>
        <v>1535</v>
      </c>
      <c r="L236" s="441">
        <f>Données!Z236</f>
        <v>9.5000000000000001E-2</v>
      </c>
      <c r="M236" s="265">
        <f t="shared" si="41"/>
        <v>55.712660731948567</v>
      </c>
      <c r="N236" s="287">
        <f t="shared" si="42"/>
        <v>-85519</v>
      </c>
      <c r="O236" s="265"/>
      <c r="P236" s="249">
        <f>Données!AA236</f>
        <v>196</v>
      </c>
      <c r="Q236" s="284">
        <f>Données!AB236</f>
        <v>195</v>
      </c>
      <c r="R236" s="236">
        <f t="shared" si="43"/>
        <v>225.25</v>
      </c>
      <c r="S236" s="288">
        <f t="shared" si="44"/>
        <v>0.14402173913043478</v>
      </c>
      <c r="T236" s="273">
        <f t="shared" si="45"/>
        <v>213.01104294478517</v>
      </c>
      <c r="U236" s="273">
        <f t="shared" si="48"/>
        <v>12.238957055214826</v>
      </c>
      <c r="V236" s="287">
        <f t="shared" si="49"/>
        <v>-52200</v>
      </c>
      <c r="W236" s="340"/>
      <c r="X236" s="236">
        <f t="shared" si="50"/>
        <v>-52200</v>
      </c>
      <c r="Y236" s="253">
        <f t="shared" si="51"/>
        <v>0</v>
      </c>
    </row>
    <row r="237" spans="1:25" x14ac:dyDescent="0.25">
      <c r="A237" s="111">
        <f>Données!A237</f>
        <v>5805</v>
      </c>
      <c r="B237" s="119" t="str">
        <f>Données!B237</f>
        <v>Oron</v>
      </c>
      <c r="C237" s="252">
        <f>Données!C237</f>
        <v>6451</v>
      </c>
      <c r="D237" s="265"/>
      <c r="E237" s="249">
        <f>Données!X237</f>
        <v>2616</v>
      </c>
      <c r="F237" s="286">
        <f t="shared" si="39"/>
        <v>0.40551852425980467</v>
      </c>
      <c r="G237" s="265">
        <f t="shared" si="40"/>
        <v>4932.2939809113304</v>
      </c>
      <c r="H237" s="273">
        <f t="shared" si="46"/>
        <v>0</v>
      </c>
      <c r="I237" s="287">
        <f t="shared" si="47"/>
        <v>0</v>
      </c>
      <c r="J237" s="265"/>
      <c r="K237" s="274">
        <f>Données!Y237</f>
        <v>1059</v>
      </c>
      <c r="L237" s="441">
        <f>Données!Z237</f>
        <v>5.5E-2</v>
      </c>
      <c r="M237" s="265">
        <f t="shared" si="41"/>
        <v>32.254698318496537</v>
      </c>
      <c r="N237" s="287">
        <f t="shared" si="42"/>
        <v>-34158</v>
      </c>
      <c r="O237" s="265"/>
      <c r="P237" s="249">
        <f>Données!AA237</f>
        <v>850</v>
      </c>
      <c r="Q237" s="284">
        <f>Données!AB237</f>
        <v>312</v>
      </c>
      <c r="R237" s="236">
        <f t="shared" si="43"/>
        <v>896.8</v>
      </c>
      <c r="S237" s="288">
        <f t="shared" si="44"/>
        <v>0.13901720663463027</v>
      </c>
      <c r="T237" s="273">
        <f t="shared" si="45"/>
        <v>878.60245398772963</v>
      </c>
      <c r="U237" s="273">
        <f t="shared" si="48"/>
        <v>18.197546012270323</v>
      </c>
      <c r="V237" s="287">
        <f t="shared" si="49"/>
        <v>-77614</v>
      </c>
      <c r="W237" s="340"/>
      <c r="X237" s="236">
        <f t="shared" si="50"/>
        <v>-77614</v>
      </c>
      <c r="Y237" s="253">
        <f t="shared" si="51"/>
        <v>0</v>
      </c>
    </row>
    <row r="238" spans="1:25" x14ac:dyDescent="0.25">
      <c r="A238" s="111">
        <f>Données!A238</f>
        <v>5806</v>
      </c>
      <c r="B238" s="119" t="str">
        <f>Données!B238</f>
        <v>Jorat-Mézières</v>
      </c>
      <c r="C238" s="252">
        <f>Données!C238</f>
        <v>3209</v>
      </c>
      <c r="D238" s="265"/>
      <c r="E238" s="249">
        <f>Données!X238</f>
        <v>1112</v>
      </c>
      <c r="F238" s="286">
        <f t="shared" si="39"/>
        <v>0.3465253973200374</v>
      </c>
      <c r="G238" s="265">
        <f t="shared" si="40"/>
        <v>2453.5314501231528</v>
      </c>
      <c r="H238" s="273">
        <f t="shared" si="46"/>
        <v>0</v>
      </c>
      <c r="I238" s="287">
        <f t="shared" si="47"/>
        <v>0</v>
      </c>
      <c r="J238" s="265"/>
      <c r="K238" s="274">
        <f>Données!Y238</f>
        <v>2018</v>
      </c>
      <c r="L238" s="441">
        <f>Données!Z238</f>
        <v>5.1999999999999998E-2</v>
      </c>
      <c r="M238" s="265">
        <f t="shared" si="41"/>
        <v>30.495351137487635</v>
      </c>
      <c r="N238" s="287">
        <f t="shared" si="42"/>
        <v>-61540</v>
      </c>
      <c r="O238" s="265"/>
      <c r="P238" s="249">
        <f>Données!AA238</f>
        <v>427</v>
      </c>
      <c r="Q238" s="284">
        <f>Données!AB238</f>
        <v>28</v>
      </c>
      <c r="R238" s="236">
        <f t="shared" si="43"/>
        <v>431.2</v>
      </c>
      <c r="S238" s="288">
        <f t="shared" si="44"/>
        <v>0.1343720785291368</v>
      </c>
      <c r="T238" s="273">
        <f t="shared" si="45"/>
        <v>437.05398773006112</v>
      </c>
      <c r="U238" s="273">
        <f t="shared" si="48"/>
        <v>0</v>
      </c>
      <c r="V238" s="287">
        <f t="shared" si="49"/>
        <v>0</v>
      </c>
      <c r="W238" s="340"/>
      <c r="X238" s="236">
        <f t="shared" si="50"/>
        <v>0</v>
      </c>
      <c r="Y238" s="253">
        <f t="shared" si="51"/>
        <v>0</v>
      </c>
    </row>
    <row r="239" spans="1:25" x14ac:dyDescent="0.25">
      <c r="A239" s="111">
        <f>Données!A239</f>
        <v>5812</v>
      </c>
      <c r="B239" s="119" t="str">
        <f>Données!B239</f>
        <v>Champtauroz</v>
      </c>
      <c r="C239" s="252">
        <f>Données!C239</f>
        <v>184</v>
      </c>
      <c r="D239" s="265"/>
      <c r="E239" s="249">
        <f>Données!X239</f>
        <v>302</v>
      </c>
      <c r="F239" s="286">
        <f t="shared" si="39"/>
        <v>1.6413043478260869</v>
      </c>
      <c r="G239" s="265">
        <f t="shared" si="40"/>
        <v>140.68238916256158</v>
      </c>
      <c r="H239" s="273">
        <f t="shared" si="46"/>
        <v>161.31761083743842</v>
      </c>
      <c r="I239" s="287">
        <f t="shared" si="47"/>
        <v>-17201</v>
      </c>
      <c r="J239" s="265"/>
      <c r="K239" s="274">
        <f>Données!Y239</f>
        <v>0</v>
      </c>
      <c r="L239" s="441">
        <f>Données!Z239</f>
        <v>2.1000000000000001E-2</v>
      </c>
      <c r="M239" s="265">
        <f t="shared" si="41"/>
        <v>12.315430267062316</v>
      </c>
      <c r="N239" s="287">
        <f t="shared" si="42"/>
        <v>0</v>
      </c>
      <c r="O239" s="265"/>
      <c r="P239" s="249">
        <f>Données!AA239</f>
        <v>36</v>
      </c>
      <c r="Q239" s="284">
        <f>Données!AB239</f>
        <v>36</v>
      </c>
      <c r="R239" s="236">
        <f t="shared" si="43"/>
        <v>41.4</v>
      </c>
      <c r="S239" s="288">
        <f t="shared" si="44"/>
        <v>0.22500000000000001</v>
      </c>
      <c r="T239" s="273">
        <f t="shared" si="45"/>
        <v>25.06012269938649</v>
      </c>
      <c r="U239" s="273">
        <f t="shared" si="48"/>
        <v>16.339877300613509</v>
      </c>
      <c r="V239" s="287">
        <f t="shared" si="49"/>
        <v>-69691</v>
      </c>
      <c r="W239" s="340"/>
      <c r="X239" s="236">
        <f t="shared" si="50"/>
        <v>-23031.454005934713</v>
      </c>
      <c r="Y239" s="253">
        <f t="shared" si="51"/>
        <v>-46659.545994065287</v>
      </c>
    </row>
    <row r="240" spans="1:25" x14ac:dyDescent="0.25">
      <c r="A240" s="111">
        <f>Données!A240</f>
        <v>5813</v>
      </c>
      <c r="B240" s="119" t="str">
        <f>Données!B240</f>
        <v>Chevroux</v>
      </c>
      <c r="C240" s="252">
        <f>Données!C240</f>
        <v>487</v>
      </c>
      <c r="D240" s="265"/>
      <c r="E240" s="249">
        <f>Données!X240</f>
        <v>335</v>
      </c>
      <c r="F240" s="286">
        <f t="shared" si="39"/>
        <v>0.68788501026694049</v>
      </c>
      <c r="G240" s="265">
        <f t="shared" si="40"/>
        <v>372.3495843596059</v>
      </c>
      <c r="H240" s="273">
        <f t="shared" si="46"/>
        <v>0</v>
      </c>
      <c r="I240" s="287">
        <f t="shared" si="47"/>
        <v>0</v>
      </c>
      <c r="J240" s="265"/>
      <c r="K240" s="274">
        <f>Données!Y240</f>
        <v>0</v>
      </c>
      <c r="L240" s="441">
        <f>Données!Z240</f>
        <v>2.4E-2</v>
      </c>
      <c r="M240" s="265">
        <f t="shared" si="41"/>
        <v>14.074777448071217</v>
      </c>
      <c r="N240" s="287">
        <f t="shared" si="42"/>
        <v>0</v>
      </c>
      <c r="O240" s="265"/>
      <c r="P240" s="249">
        <f>Données!AA240</f>
        <v>60</v>
      </c>
      <c r="Q240" s="284">
        <f>Données!AB240</f>
        <v>60</v>
      </c>
      <c r="R240" s="236">
        <f t="shared" si="43"/>
        <v>69</v>
      </c>
      <c r="S240" s="288">
        <f t="shared" si="44"/>
        <v>0.14168377823408623</v>
      </c>
      <c r="T240" s="273">
        <f t="shared" si="45"/>
        <v>66.32760736196316</v>
      </c>
      <c r="U240" s="273">
        <f t="shared" si="48"/>
        <v>2.6723926380368397</v>
      </c>
      <c r="V240" s="287">
        <f t="shared" si="49"/>
        <v>-11398</v>
      </c>
      <c r="W240" s="340"/>
      <c r="X240" s="236">
        <f t="shared" si="50"/>
        <v>-11398</v>
      </c>
      <c r="Y240" s="253">
        <f t="shared" si="51"/>
        <v>0</v>
      </c>
    </row>
    <row r="241" spans="1:25" x14ac:dyDescent="0.25">
      <c r="A241" s="111">
        <f>Données!A241</f>
        <v>5816</v>
      </c>
      <c r="B241" s="119" t="str">
        <f>Données!B241</f>
        <v>Corcelles-près-Payerne</v>
      </c>
      <c r="C241" s="252">
        <f>Données!C241</f>
        <v>3129</v>
      </c>
      <c r="D241" s="265"/>
      <c r="E241" s="249">
        <f>Données!X241</f>
        <v>1188</v>
      </c>
      <c r="F241" s="286">
        <f t="shared" si="39"/>
        <v>0.37967401725790989</v>
      </c>
      <c r="G241" s="265">
        <f t="shared" si="40"/>
        <v>2392.3651939655174</v>
      </c>
      <c r="H241" s="273">
        <f t="shared" si="46"/>
        <v>0</v>
      </c>
      <c r="I241" s="287">
        <f t="shared" si="47"/>
        <v>0</v>
      </c>
      <c r="J241" s="265"/>
      <c r="K241" s="274">
        <f>Données!Y241</f>
        <v>0</v>
      </c>
      <c r="L241" s="441">
        <f>Données!Z241</f>
        <v>2.3E-2</v>
      </c>
      <c r="M241" s="265">
        <f t="shared" si="41"/>
        <v>13.488328387734915</v>
      </c>
      <c r="N241" s="287">
        <f t="shared" si="42"/>
        <v>0</v>
      </c>
      <c r="O241" s="265"/>
      <c r="P241" s="249">
        <f>Données!AA241</f>
        <v>426</v>
      </c>
      <c r="Q241" s="284">
        <f>Données!AB241</f>
        <v>64</v>
      </c>
      <c r="R241" s="236">
        <f t="shared" si="43"/>
        <v>435.6</v>
      </c>
      <c r="S241" s="288">
        <f t="shared" si="44"/>
        <v>0.13921380632790029</v>
      </c>
      <c r="T241" s="273">
        <f t="shared" si="45"/>
        <v>426.15828220858873</v>
      </c>
      <c r="U241" s="273">
        <f t="shared" si="48"/>
        <v>9.4417177914112926</v>
      </c>
      <c r="V241" s="287">
        <f t="shared" si="49"/>
        <v>-40270</v>
      </c>
      <c r="W241" s="340"/>
      <c r="X241" s="236">
        <f t="shared" si="50"/>
        <v>-40270</v>
      </c>
      <c r="Y241" s="253">
        <f t="shared" si="51"/>
        <v>0</v>
      </c>
    </row>
    <row r="242" spans="1:25" x14ac:dyDescent="0.25">
      <c r="A242" s="111">
        <f>Données!A242</f>
        <v>5817</v>
      </c>
      <c r="B242" s="119" t="str">
        <f>Données!B242</f>
        <v>Grandcour</v>
      </c>
      <c r="C242" s="252">
        <f>Données!C242</f>
        <v>970</v>
      </c>
      <c r="D242" s="265"/>
      <c r="E242" s="249">
        <f>Données!X242</f>
        <v>1016</v>
      </c>
      <c r="F242" s="286">
        <f t="shared" si="39"/>
        <v>1.0474226804123712</v>
      </c>
      <c r="G242" s="265">
        <f t="shared" si="40"/>
        <v>741.64085591133005</v>
      </c>
      <c r="H242" s="273">
        <f t="shared" si="46"/>
        <v>274.35914408866995</v>
      </c>
      <c r="I242" s="287">
        <f t="shared" si="47"/>
        <v>-29254</v>
      </c>
      <c r="J242" s="265"/>
      <c r="K242" s="274">
        <f>Données!Y242</f>
        <v>0</v>
      </c>
      <c r="L242" s="441">
        <f>Données!Z242</f>
        <v>1.4E-2</v>
      </c>
      <c r="M242" s="265">
        <f t="shared" si="41"/>
        <v>8.2102868447082109</v>
      </c>
      <c r="N242" s="287">
        <f t="shared" si="42"/>
        <v>0</v>
      </c>
      <c r="O242" s="265"/>
      <c r="P242" s="249">
        <f>Données!AA242</f>
        <v>136</v>
      </c>
      <c r="Q242" s="284">
        <f>Données!AB242</f>
        <v>96</v>
      </c>
      <c r="R242" s="236">
        <f t="shared" si="43"/>
        <v>150.4</v>
      </c>
      <c r="S242" s="288">
        <f t="shared" si="44"/>
        <v>0.15505154639175259</v>
      </c>
      <c r="T242" s="273">
        <f t="shared" si="45"/>
        <v>132.11042944785271</v>
      </c>
      <c r="U242" s="273">
        <f t="shared" si="48"/>
        <v>18.289570552147296</v>
      </c>
      <c r="V242" s="287">
        <f t="shared" si="49"/>
        <v>-78007</v>
      </c>
      <c r="W242" s="340"/>
      <c r="X242" s="236">
        <f t="shared" si="50"/>
        <v>-61417.210682492572</v>
      </c>
      <c r="Y242" s="253">
        <f t="shared" si="51"/>
        <v>-16589.789317507428</v>
      </c>
    </row>
    <row r="243" spans="1:25" x14ac:dyDescent="0.25">
      <c r="A243" s="111">
        <f>Données!A243</f>
        <v>5819</v>
      </c>
      <c r="B243" s="119" t="str">
        <f>Données!B243</f>
        <v>Henniez</v>
      </c>
      <c r="C243" s="252">
        <f>Données!C243</f>
        <v>464</v>
      </c>
      <c r="D243" s="265"/>
      <c r="E243" s="249">
        <f>Données!X243</f>
        <v>252</v>
      </c>
      <c r="F243" s="286">
        <f t="shared" si="39"/>
        <v>0.5431034482758621</v>
      </c>
      <c r="G243" s="265">
        <f t="shared" si="40"/>
        <v>354.76428571428573</v>
      </c>
      <c r="H243" s="273">
        <f t="shared" si="46"/>
        <v>0</v>
      </c>
      <c r="I243" s="287">
        <f t="shared" si="47"/>
        <v>0</v>
      </c>
      <c r="J243" s="265"/>
      <c r="K243" s="274">
        <f>Données!Y243</f>
        <v>0</v>
      </c>
      <c r="L243" s="441">
        <f>Données!Z243</f>
        <v>0.107</v>
      </c>
      <c r="M243" s="265">
        <f t="shared" si="41"/>
        <v>62.750049455984175</v>
      </c>
      <c r="N243" s="287">
        <f t="shared" si="42"/>
        <v>0</v>
      </c>
      <c r="O243" s="265"/>
      <c r="P243" s="249">
        <f>Données!AA243</f>
        <v>70</v>
      </c>
      <c r="Q243" s="284">
        <f>Données!AB243</f>
        <v>70</v>
      </c>
      <c r="R243" s="236">
        <f t="shared" si="43"/>
        <v>80.5</v>
      </c>
      <c r="S243" s="288">
        <f t="shared" si="44"/>
        <v>0.17349137931034483</v>
      </c>
      <c r="T243" s="273">
        <f t="shared" si="45"/>
        <v>63.195092024539846</v>
      </c>
      <c r="U243" s="273">
        <f t="shared" si="48"/>
        <v>17.304907975460154</v>
      </c>
      <c r="V243" s="287">
        <f t="shared" si="49"/>
        <v>-73807</v>
      </c>
      <c r="W243" s="340"/>
      <c r="X243" s="236">
        <f t="shared" si="50"/>
        <v>-44783.382789317504</v>
      </c>
      <c r="Y243" s="253">
        <f t="shared" si="51"/>
        <v>-29023.617210682496</v>
      </c>
    </row>
    <row r="244" spans="1:25" x14ac:dyDescent="0.25">
      <c r="A244" s="111">
        <f>Données!A244</f>
        <v>5821</v>
      </c>
      <c r="B244" s="119" t="str">
        <f>Données!B244</f>
        <v>Missy</v>
      </c>
      <c r="C244" s="252">
        <f>Données!C244</f>
        <v>379</v>
      </c>
      <c r="D244" s="265"/>
      <c r="E244" s="249">
        <f>Données!X244</f>
        <v>301</v>
      </c>
      <c r="F244" s="286">
        <f t="shared" si="39"/>
        <v>0.79419525065963059</v>
      </c>
      <c r="G244" s="265">
        <f t="shared" si="40"/>
        <v>289.77513854679802</v>
      </c>
      <c r="H244" s="273">
        <f t="shared" si="46"/>
        <v>11.224861453201981</v>
      </c>
      <c r="I244" s="287">
        <f t="shared" si="47"/>
        <v>-1197</v>
      </c>
      <c r="J244" s="265"/>
      <c r="K244" s="274">
        <f>Données!Y244</f>
        <v>0</v>
      </c>
      <c r="L244" s="441">
        <f>Données!Z244</f>
        <v>0.02</v>
      </c>
      <c r="M244" s="265">
        <f t="shared" si="41"/>
        <v>11.728981206726015</v>
      </c>
      <c r="N244" s="287">
        <f t="shared" si="42"/>
        <v>0</v>
      </c>
      <c r="O244" s="265"/>
      <c r="P244" s="249">
        <f>Données!AA244</f>
        <v>64</v>
      </c>
      <c r="Q244" s="284">
        <f>Données!AB244</f>
        <v>64</v>
      </c>
      <c r="R244" s="236">
        <f t="shared" si="43"/>
        <v>73.599999999999994</v>
      </c>
      <c r="S244" s="288">
        <f t="shared" si="44"/>
        <v>0.19419525065963059</v>
      </c>
      <c r="T244" s="273">
        <f t="shared" si="45"/>
        <v>51.618404907975439</v>
      </c>
      <c r="U244" s="273">
        <f t="shared" si="48"/>
        <v>21.981595092024556</v>
      </c>
      <c r="V244" s="287">
        <f t="shared" si="49"/>
        <v>-93753</v>
      </c>
      <c r="W244" s="340"/>
      <c r="X244" s="236">
        <f t="shared" si="50"/>
        <v>-40944.807121661717</v>
      </c>
      <c r="Y244" s="253">
        <f t="shared" si="51"/>
        <v>-52808.192878338283</v>
      </c>
    </row>
    <row r="245" spans="1:25" x14ac:dyDescent="0.25">
      <c r="A245" s="111">
        <f>Données!A245</f>
        <v>5822</v>
      </c>
      <c r="B245" s="119" t="str">
        <f>Données!B245</f>
        <v>Payerne</v>
      </c>
      <c r="C245" s="252">
        <f>Données!C245</f>
        <v>10972</v>
      </c>
      <c r="D245" s="265"/>
      <c r="E245" s="249">
        <f>Données!X245</f>
        <v>2376</v>
      </c>
      <c r="F245" s="286">
        <f t="shared" si="39"/>
        <v>0.21655122129055779</v>
      </c>
      <c r="G245" s="265">
        <f t="shared" si="40"/>
        <v>8388.9520320197043</v>
      </c>
      <c r="H245" s="273">
        <f t="shared" si="46"/>
        <v>0</v>
      </c>
      <c r="I245" s="287">
        <f t="shared" si="47"/>
        <v>0</v>
      </c>
      <c r="J245" s="265"/>
      <c r="K245" s="274">
        <f>Données!Y245</f>
        <v>0</v>
      </c>
      <c r="L245" s="441">
        <f>Données!Z245</f>
        <v>3.1E-2</v>
      </c>
      <c r="M245" s="265">
        <f t="shared" si="41"/>
        <v>18.17992087042532</v>
      </c>
      <c r="N245" s="287">
        <f t="shared" si="42"/>
        <v>0</v>
      </c>
      <c r="O245" s="265"/>
      <c r="P245" s="249">
        <f>Données!AA245</f>
        <v>1441</v>
      </c>
      <c r="Q245" s="284">
        <f>Données!AB245</f>
        <v>36</v>
      </c>
      <c r="R245" s="236">
        <f t="shared" si="43"/>
        <v>1446.4</v>
      </c>
      <c r="S245" s="288">
        <f t="shared" si="44"/>
        <v>0.13182646737149106</v>
      </c>
      <c r="T245" s="273">
        <f t="shared" si="45"/>
        <v>1494.346012269938</v>
      </c>
      <c r="U245" s="273">
        <f t="shared" si="48"/>
        <v>0</v>
      </c>
      <c r="V245" s="287">
        <f t="shared" si="49"/>
        <v>0</v>
      </c>
      <c r="W245" s="340"/>
      <c r="X245" s="236">
        <f t="shared" si="50"/>
        <v>0</v>
      </c>
      <c r="Y245" s="253">
        <f t="shared" si="51"/>
        <v>0</v>
      </c>
    </row>
    <row r="246" spans="1:25" x14ac:dyDescent="0.25">
      <c r="A246" s="111">
        <f>Données!A246</f>
        <v>5827</v>
      </c>
      <c r="B246" s="119" t="str">
        <f>Données!B246</f>
        <v>Trey</v>
      </c>
      <c r="C246" s="252">
        <f>Données!C246</f>
        <v>305</v>
      </c>
      <c r="D246" s="265"/>
      <c r="E246" s="249">
        <f>Données!X246</f>
        <v>372</v>
      </c>
      <c r="F246" s="286">
        <f t="shared" si="39"/>
        <v>1.2196721311475409</v>
      </c>
      <c r="G246" s="265">
        <f t="shared" si="40"/>
        <v>233.19635160098522</v>
      </c>
      <c r="H246" s="273">
        <f t="shared" si="46"/>
        <v>138.80364839901478</v>
      </c>
      <c r="I246" s="287">
        <f t="shared" si="47"/>
        <v>-14800</v>
      </c>
      <c r="J246" s="265"/>
      <c r="K246" s="274">
        <f>Données!Y246</f>
        <v>0</v>
      </c>
      <c r="L246" s="441">
        <f>Données!Z246</f>
        <v>7.1999999999999995E-2</v>
      </c>
      <c r="M246" s="265">
        <f t="shared" si="41"/>
        <v>42.22433234421365</v>
      </c>
      <c r="N246" s="287">
        <f t="shared" si="42"/>
        <v>0</v>
      </c>
      <c r="O246" s="265"/>
      <c r="P246" s="249">
        <f>Données!AA246</f>
        <v>35</v>
      </c>
      <c r="Q246" s="284">
        <f>Données!AB246</f>
        <v>35</v>
      </c>
      <c r="R246" s="236">
        <f t="shared" si="43"/>
        <v>40.25</v>
      </c>
      <c r="S246" s="288">
        <f t="shared" si="44"/>
        <v>0.13196721311475409</v>
      </c>
      <c r="T246" s="273">
        <f t="shared" si="45"/>
        <v>41.539877300613476</v>
      </c>
      <c r="U246" s="273">
        <f t="shared" si="48"/>
        <v>0</v>
      </c>
      <c r="V246" s="287">
        <f t="shared" si="49"/>
        <v>0</v>
      </c>
      <c r="W246" s="340"/>
      <c r="X246" s="236">
        <f t="shared" si="50"/>
        <v>0</v>
      </c>
      <c r="Y246" s="253">
        <f t="shared" si="51"/>
        <v>0</v>
      </c>
    </row>
    <row r="247" spans="1:25" x14ac:dyDescent="0.25">
      <c r="A247" s="111">
        <f>Données!A247</f>
        <v>5828</v>
      </c>
      <c r="B247" s="119" t="str">
        <f>Données!B247</f>
        <v>Treytorrens (Payerne)</v>
      </c>
      <c r="C247" s="252">
        <f>Données!C247</f>
        <v>108</v>
      </c>
      <c r="D247" s="265"/>
      <c r="E247" s="249">
        <f>Données!X247</f>
        <v>310</v>
      </c>
      <c r="F247" s="286">
        <f t="shared" si="39"/>
        <v>2.8703703703703702</v>
      </c>
      <c r="G247" s="265">
        <f t="shared" si="40"/>
        <v>82.57444581280788</v>
      </c>
      <c r="H247" s="273">
        <f t="shared" si="46"/>
        <v>227.42555418719212</v>
      </c>
      <c r="I247" s="287">
        <f t="shared" si="47"/>
        <v>-24250</v>
      </c>
      <c r="J247" s="265"/>
      <c r="K247" s="274">
        <f>Données!Y247</f>
        <v>0</v>
      </c>
      <c r="L247" s="441">
        <f>Données!Z247</f>
        <v>0.04</v>
      </c>
      <c r="M247" s="265">
        <f t="shared" si="41"/>
        <v>23.45796241345203</v>
      </c>
      <c r="N247" s="287">
        <f t="shared" si="42"/>
        <v>0</v>
      </c>
      <c r="O247" s="265"/>
      <c r="P247" s="249">
        <f>Données!AA247</f>
        <v>7</v>
      </c>
      <c r="Q247" s="284">
        <f>Données!AB247</f>
        <v>6</v>
      </c>
      <c r="R247" s="236">
        <f t="shared" si="43"/>
        <v>7.9</v>
      </c>
      <c r="S247" s="288">
        <f t="shared" si="44"/>
        <v>7.3148148148148157E-2</v>
      </c>
      <c r="T247" s="273">
        <f t="shared" si="45"/>
        <v>14.709202453987723</v>
      </c>
      <c r="U247" s="273">
        <f t="shared" si="48"/>
        <v>0</v>
      </c>
      <c r="V247" s="287">
        <f t="shared" si="49"/>
        <v>0</v>
      </c>
      <c r="W247" s="340"/>
      <c r="X247" s="236">
        <f t="shared" si="50"/>
        <v>0</v>
      </c>
      <c r="Y247" s="253">
        <f t="shared" si="51"/>
        <v>0</v>
      </c>
    </row>
    <row r="248" spans="1:25" x14ac:dyDescent="0.25">
      <c r="A248" s="111">
        <f>Données!A248</f>
        <v>5830</v>
      </c>
      <c r="B248" s="119" t="str">
        <f>Données!B248</f>
        <v>Villarzel</v>
      </c>
      <c r="C248" s="252">
        <f>Données!C248</f>
        <v>522</v>
      </c>
      <c r="D248" s="265"/>
      <c r="E248" s="249">
        <f>Données!X248</f>
        <v>769</v>
      </c>
      <c r="F248" s="286">
        <f t="shared" si="39"/>
        <v>1.4731800766283525</v>
      </c>
      <c r="G248" s="265">
        <f t="shared" si="40"/>
        <v>399.10982142857142</v>
      </c>
      <c r="H248" s="273">
        <f t="shared" si="46"/>
        <v>369.89017857142858</v>
      </c>
      <c r="I248" s="287">
        <f t="shared" si="47"/>
        <v>-39440</v>
      </c>
      <c r="J248" s="265"/>
      <c r="K248" s="274">
        <f>Données!Y248</f>
        <v>28</v>
      </c>
      <c r="L248" s="441">
        <f>Données!Z248</f>
        <v>9.1999999999999998E-2</v>
      </c>
      <c r="M248" s="265">
        <f t="shared" si="41"/>
        <v>53.953313550939662</v>
      </c>
      <c r="N248" s="287">
        <f t="shared" si="42"/>
        <v>-1511</v>
      </c>
      <c r="O248" s="265"/>
      <c r="P248" s="249">
        <f>Données!AA248</f>
        <v>72</v>
      </c>
      <c r="Q248" s="284">
        <f>Données!AB248</f>
        <v>72</v>
      </c>
      <c r="R248" s="236">
        <f t="shared" si="43"/>
        <v>82.8</v>
      </c>
      <c r="S248" s="288">
        <f t="shared" si="44"/>
        <v>0.1586206896551724</v>
      </c>
      <c r="T248" s="273">
        <f t="shared" si="45"/>
        <v>71.094478527607322</v>
      </c>
      <c r="U248" s="273">
        <f t="shared" si="48"/>
        <v>11.705521472392675</v>
      </c>
      <c r="V248" s="287">
        <f t="shared" si="49"/>
        <v>-49925</v>
      </c>
      <c r="W248" s="340"/>
      <c r="X248" s="236">
        <f t="shared" si="50"/>
        <v>-46062.908011869426</v>
      </c>
      <c r="Y248" s="253">
        <f t="shared" si="51"/>
        <v>-3862.0919881305745</v>
      </c>
    </row>
    <row r="249" spans="1:25" x14ac:dyDescent="0.25">
      <c r="A249" s="111">
        <f>Données!A249</f>
        <v>5831</v>
      </c>
      <c r="B249" s="119" t="str">
        <f>Données!B249</f>
        <v>Valbroye</v>
      </c>
      <c r="C249" s="252">
        <f>Données!C249</f>
        <v>3416</v>
      </c>
      <c r="D249" s="265"/>
      <c r="E249" s="249">
        <f>Données!X249</f>
        <v>3335</v>
      </c>
      <c r="F249" s="286">
        <f t="shared" si="39"/>
        <v>0.97628805620608894</v>
      </c>
      <c r="G249" s="265">
        <f t="shared" si="40"/>
        <v>2611.7991379310347</v>
      </c>
      <c r="H249" s="273">
        <f t="shared" si="46"/>
        <v>723.20086206896531</v>
      </c>
      <c r="I249" s="287">
        <f t="shared" si="47"/>
        <v>-77113</v>
      </c>
      <c r="J249" s="265"/>
      <c r="K249" s="274">
        <f>Données!Y249</f>
        <v>115</v>
      </c>
      <c r="L249" s="441">
        <f>Données!Z249</f>
        <v>7.2999999999999995E-2</v>
      </c>
      <c r="M249" s="265">
        <f t="shared" si="41"/>
        <v>42.81078140454995</v>
      </c>
      <c r="N249" s="287">
        <f t="shared" si="42"/>
        <v>-4923</v>
      </c>
      <c r="O249" s="265"/>
      <c r="P249" s="249">
        <f>Données!AA249</f>
        <v>447</v>
      </c>
      <c r="Q249" s="284">
        <f>Données!AB249</f>
        <v>267</v>
      </c>
      <c r="R249" s="236">
        <f t="shared" si="43"/>
        <v>487.05</v>
      </c>
      <c r="S249" s="288">
        <f t="shared" si="44"/>
        <v>0.14257903981264639</v>
      </c>
      <c r="T249" s="273">
        <f t="shared" si="45"/>
        <v>465.24662576687092</v>
      </c>
      <c r="U249" s="273">
        <f t="shared" si="48"/>
        <v>21.803374233129091</v>
      </c>
      <c r="V249" s="287">
        <f t="shared" si="49"/>
        <v>-92993</v>
      </c>
      <c r="W249" s="340"/>
      <c r="X249" s="236">
        <f t="shared" si="50"/>
        <v>-92993</v>
      </c>
      <c r="Y249" s="253">
        <f t="shared" si="51"/>
        <v>0</v>
      </c>
    </row>
    <row r="250" spans="1:25" x14ac:dyDescent="0.25">
      <c r="A250" s="111">
        <f>Données!A250</f>
        <v>5841</v>
      </c>
      <c r="B250" s="119" t="str">
        <f>Données!B250</f>
        <v>Château-d'Oex</v>
      </c>
      <c r="C250" s="252">
        <f>Données!C250</f>
        <v>3689</v>
      </c>
      <c r="D250" s="265"/>
      <c r="E250" s="249">
        <f>Données!X250</f>
        <v>9537</v>
      </c>
      <c r="F250" s="286">
        <f t="shared" si="39"/>
        <v>2.585253456221198</v>
      </c>
      <c r="G250" s="265">
        <f t="shared" si="40"/>
        <v>2820.5289870689653</v>
      </c>
      <c r="H250" s="273">
        <f t="shared" si="46"/>
        <v>6716.4710129310351</v>
      </c>
      <c r="I250" s="287">
        <f t="shared" si="47"/>
        <v>-716158</v>
      </c>
      <c r="J250" s="265"/>
      <c r="K250" s="274">
        <f>Données!Y250</f>
        <v>3689</v>
      </c>
      <c r="L250" s="441">
        <f>Données!Z250</f>
        <v>0.70499999999999996</v>
      </c>
      <c r="M250" s="265">
        <f t="shared" si="41"/>
        <v>413.446587537092</v>
      </c>
      <c r="N250" s="287">
        <f t="shared" si="42"/>
        <v>-1525204</v>
      </c>
      <c r="O250" s="265"/>
      <c r="P250" s="249">
        <f>Données!AA250</f>
        <v>410</v>
      </c>
      <c r="Q250" s="284">
        <f>Données!AB250</f>
        <v>224</v>
      </c>
      <c r="R250" s="236">
        <f t="shared" si="43"/>
        <v>443.6</v>
      </c>
      <c r="S250" s="288">
        <f t="shared" si="44"/>
        <v>0.1202493900786121</v>
      </c>
      <c r="T250" s="273">
        <f t="shared" si="45"/>
        <v>502.42822085889549</v>
      </c>
      <c r="U250" s="273">
        <f t="shared" si="48"/>
        <v>0</v>
      </c>
      <c r="V250" s="287">
        <f t="shared" si="49"/>
        <v>0</v>
      </c>
      <c r="W250" s="340"/>
      <c r="X250" s="236">
        <f t="shared" si="50"/>
        <v>0</v>
      </c>
      <c r="Y250" s="253">
        <f t="shared" si="51"/>
        <v>0</v>
      </c>
    </row>
    <row r="251" spans="1:25" x14ac:dyDescent="0.25">
      <c r="A251" s="111">
        <f>Données!A251</f>
        <v>5842</v>
      </c>
      <c r="B251" s="119" t="str">
        <f>Données!B251</f>
        <v>Rossinière</v>
      </c>
      <c r="C251" s="252">
        <f>Données!C251</f>
        <v>504</v>
      </c>
      <c r="D251" s="265"/>
      <c r="E251" s="249">
        <f>Données!X251</f>
        <v>2126</v>
      </c>
      <c r="F251" s="286">
        <f t="shared" si="39"/>
        <v>4.2182539682539684</v>
      </c>
      <c r="G251" s="265">
        <f t="shared" si="40"/>
        <v>385.34741379310344</v>
      </c>
      <c r="H251" s="273">
        <f t="shared" si="46"/>
        <v>1740.6525862068966</v>
      </c>
      <c r="I251" s="287">
        <f t="shared" si="47"/>
        <v>-185601</v>
      </c>
      <c r="J251" s="265"/>
      <c r="K251" s="274">
        <f>Données!Y251</f>
        <v>504</v>
      </c>
      <c r="L251" s="441">
        <f>Données!Z251</f>
        <v>0.80800000000000005</v>
      </c>
      <c r="M251" s="265">
        <f t="shared" si="41"/>
        <v>473.85084075173097</v>
      </c>
      <c r="N251" s="287">
        <f t="shared" si="42"/>
        <v>-238821</v>
      </c>
      <c r="O251" s="265"/>
      <c r="P251" s="249">
        <f>Données!AA251</f>
        <v>71</v>
      </c>
      <c r="Q251" s="284">
        <f>Données!AB251</f>
        <v>54</v>
      </c>
      <c r="R251" s="236">
        <f t="shared" si="43"/>
        <v>79.099999999999994</v>
      </c>
      <c r="S251" s="288">
        <f t="shared" si="44"/>
        <v>0.15694444444444444</v>
      </c>
      <c r="T251" s="273">
        <f t="shared" si="45"/>
        <v>68.642944785276043</v>
      </c>
      <c r="U251" s="273">
        <f t="shared" si="48"/>
        <v>10.457055214723951</v>
      </c>
      <c r="V251" s="287">
        <f t="shared" si="49"/>
        <v>-44600</v>
      </c>
      <c r="W251" s="340"/>
      <c r="X251" s="236">
        <f t="shared" si="50"/>
        <v>-34547.181008902073</v>
      </c>
      <c r="Y251" s="253">
        <f t="shared" si="51"/>
        <v>-10052.818991097927</v>
      </c>
    </row>
    <row r="252" spans="1:25" x14ac:dyDescent="0.25">
      <c r="A252" s="111">
        <f>Données!A252</f>
        <v>5843</v>
      </c>
      <c r="B252" s="119" t="str">
        <f>Données!B252</f>
        <v>Rougemont</v>
      </c>
      <c r="C252" s="252">
        <f>Données!C252</f>
        <v>805</v>
      </c>
      <c r="D252" s="265"/>
      <c r="E252" s="249">
        <f>Données!X252</f>
        <v>4104</v>
      </c>
      <c r="F252" s="286">
        <f t="shared" si="39"/>
        <v>5.0981366459627333</v>
      </c>
      <c r="G252" s="265">
        <f t="shared" si="40"/>
        <v>615.48545258620686</v>
      </c>
      <c r="H252" s="273">
        <f t="shared" si="46"/>
        <v>3488.514547413793</v>
      </c>
      <c r="I252" s="287">
        <f t="shared" si="47"/>
        <v>-371970</v>
      </c>
      <c r="J252" s="265"/>
      <c r="K252" s="274">
        <f>Données!Y252</f>
        <v>805</v>
      </c>
      <c r="L252" s="441">
        <f>Données!Z252</f>
        <v>0.73799999999999999</v>
      </c>
      <c r="M252" s="265">
        <f t="shared" si="41"/>
        <v>432.79940652818993</v>
      </c>
      <c r="N252" s="287">
        <f t="shared" si="42"/>
        <v>-348404</v>
      </c>
      <c r="O252" s="265"/>
      <c r="P252" s="249">
        <f>Données!AA252</f>
        <v>69</v>
      </c>
      <c r="Q252" s="284">
        <f>Données!AB252</f>
        <v>69</v>
      </c>
      <c r="R252" s="236">
        <f t="shared" si="43"/>
        <v>79.349999999999994</v>
      </c>
      <c r="S252" s="288">
        <f t="shared" si="44"/>
        <v>9.857142857142856E-2</v>
      </c>
      <c r="T252" s="273">
        <f t="shared" si="45"/>
        <v>109.6380368098159</v>
      </c>
      <c r="U252" s="273">
        <f t="shared" si="48"/>
        <v>0</v>
      </c>
      <c r="V252" s="287">
        <f t="shared" si="49"/>
        <v>0</v>
      </c>
      <c r="W252" s="340"/>
      <c r="X252" s="236">
        <f t="shared" si="50"/>
        <v>0</v>
      </c>
      <c r="Y252" s="253">
        <f t="shared" si="51"/>
        <v>0</v>
      </c>
    </row>
    <row r="253" spans="1:25" x14ac:dyDescent="0.25">
      <c r="A253" s="111">
        <f>Données!A253</f>
        <v>5851</v>
      </c>
      <c r="B253" s="119" t="str">
        <f>Données!B253</f>
        <v>Allaman</v>
      </c>
      <c r="C253" s="252">
        <f>Données!C253</f>
        <v>412</v>
      </c>
      <c r="D253" s="265"/>
      <c r="E253" s="249">
        <f>Données!X253</f>
        <v>256</v>
      </c>
      <c r="F253" s="286">
        <f t="shared" si="39"/>
        <v>0.62135922330097082</v>
      </c>
      <c r="G253" s="265">
        <f t="shared" si="40"/>
        <v>315.00621921182267</v>
      </c>
      <c r="H253" s="273">
        <f t="shared" si="46"/>
        <v>0</v>
      </c>
      <c r="I253" s="287">
        <f t="shared" si="47"/>
        <v>0</v>
      </c>
      <c r="J253" s="265"/>
      <c r="K253" s="274">
        <f>Données!Y253</f>
        <v>0</v>
      </c>
      <c r="L253" s="441">
        <f>Données!Z253</f>
        <v>3.3000000000000002E-2</v>
      </c>
      <c r="M253" s="265">
        <f t="shared" si="41"/>
        <v>19.352818991097923</v>
      </c>
      <c r="N253" s="287">
        <f t="shared" si="42"/>
        <v>0</v>
      </c>
      <c r="O253" s="265"/>
      <c r="P253" s="249">
        <f>Données!AA253</f>
        <v>29</v>
      </c>
      <c r="Q253" s="284">
        <f>Données!AB253</f>
        <v>20</v>
      </c>
      <c r="R253" s="236">
        <f t="shared" si="43"/>
        <v>32</v>
      </c>
      <c r="S253" s="288">
        <f t="shared" si="44"/>
        <v>7.7669902912621352E-2</v>
      </c>
      <c r="T253" s="273">
        <f t="shared" si="45"/>
        <v>56.112883435582795</v>
      </c>
      <c r="U253" s="273">
        <f t="shared" si="48"/>
        <v>0</v>
      </c>
      <c r="V253" s="287">
        <f t="shared" si="49"/>
        <v>0</v>
      </c>
      <c r="W253" s="340"/>
      <c r="X253" s="236">
        <f t="shared" si="50"/>
        <v>0</v>
      </c>
      <c r="Y253" s="253">
        <f t="shared" si="51"/>
        <v>0</v>
      </c>
    </row>
    <row r="254" spans="1:25" x14ac:dyDescent="0.25">
      <c r="A254" s="111">
        <f>Données!A254</f>
        <v>5852</v>
      </c>
      <c r="B254" s="119" t="str">
        <f>Données!B254</f>
        <v>Bursinel</v>
      </c>
      <c r="C254" s="252">
        <f>Données!C254</f>
        <v>535</v>
      </c>
      <c r="D254" s="265"/>
      <c r="E254" s="249">
        <f>Données!X254</f>
        <v>180</v>
      </c>
      <c r="F254" s="286">
        <f t="shared" si="39"/>
        <v>0.3364485981308411</v>
      </c>
      <c r="G254" s="265">
        <f t="shared" si="40"/>
        <v>409.04933805418722</v>
      </c>
      <c r="H254" s="273">
        <f t="shared" si="46"/>
        <v>0</v>
      </c>
      <c r="I254" s="287">
        <f t="shared" si="47"/>
        <v>0</v>
      </c>
      <c r="J254" s="265"/>
      <c r="K254" s="274">
        <f>Données!Y254</f>
        <v>0</v>
      </c>
      <c r="L254" s="441">
        <f>Données!Z254</f>
        <v>1.2999999999999999E-2</v>
      </c>
      <c r="M254" s="265">
        <f t="shared" si="41"/>
        <v>7.6238377843719087</v>
      </c>
      <c r="N254" s="287">
        <f t="shared" si="42"/>
        <v>0</v>
      </c>
      <c r="O254" s="265"/>
      <c r="P254" s="249">
        <f>Données!AA254</f>
        <v>61</v>
      </c>
      <c r="Q254" s="284">
        <f>Données!AB254</f>
        <v>43</v>
      </c>
      <c r="R254" s="236">
        <f t="shared" si="43"/>
        <v>67.45</v>
      </c>
      <c r="S254" s="288">
        <f t="shared" si="44"/>
        <v>0.1260747663551402</v>
      </c>
      <c r="T254" s="273">
        <f t="shared" si="45"/>
        <v>72.865030674846594</v>
      </c>
      <c r="U254" s="273">
        <f t="shared" si="48"/>
        <v>0</v>
      </c>
      <c r="V254" s="287">
        <f t="shared" si="49"/>
        <v>0</v>
      </c>
      <c r="W254" s="340"/>
      <c r="X254" s="236">
        <f t="shared" si="50"/>
        <v>0</v>
      </c>
      <c r="Y254" s="253">
        <f t="shared" si="51"/>
        <v>0</v>
      </c>
    </row>
    <row r="255" spans="1:25" x14ac:dyDescent="0.25">
      <c r="A255" s="111">
        <f>Données!A255</f>
        <v>5853</v>
      </c>
      <c r="B255" s="119" t="str">
        <f>Données!B255</f>
        <v>Bursins</v>
      </c>
      <c r="C255" s="252">
        <f>Données!C255</f>
        <v>831</v>
      </c>
      <c r="D255" s="265"/>
      <c r="E255" s="249">
        <f>Données!X255</f>
        <v>340</v>
      </c>
      <c r="F255" s="286">
        <f t="shared" si="39"/>
        <v>0.40914560770156438</v>
      </c>
      <c r="G255" s="265">
        <f t="shared" si="40"/>
        <v>635.36448583743845</v>
      </c>
      <c r="H255" s="273">
        <f t="shared" si="46"/>
        <v>0</v>
      </c>
      <c r="I255" s="287">
        <f t="shared" si="47"/>
        <v>0</v>
      </c>
      <c r="J255" s="265"/>
      <c r="K255" s="274">
        <f>Données!Y255</f>
        <v>0</v>
      </c>
      <c r="L255" s="441">
        <f>Données!Z255</f>
        <v>0.224</v>
      </c>
      <c r="M255" s="265">
        <f t="shared" si="41"/>
        <v>131.36458951533137</v>
      </c>
      <c r="N255" s="287">
        <f t="shared" si="42"/>
        <v>0</v>
      </c>
      <c r="O255" s="265"/>
      <c r="P255" s="249">
        <f>Données!AA255</f>
        <v>104</v>
      </c>
      <c r="Q255" s="284">
        <f>Données!AB255</f>
        <v>66</v>
      </c>
      <c r="R255" s="236">
        <f t="shared" si="43"/>
        <v>113.9</v>
      </c>
      <c r="S255" s="288">
        <f t="shared" si="44"/>
        <v>0.13706377858002408</v>
      </c>
      <c r="T255" s="273">
        <f t="shared" si="45"/>
        <v>113.17914110429443</v>
      </c>
      <c r="U255" s="273">
        <f t="shared" si="48"/>
        <v>0.72085889570557526</v>
      </c>
      <c r="V255" s="287">
        <f t="shared" si="49"/>
        <v>-3075</v>
      </c>
      <c r="W255" s="340"/>
      <c r="X255" s="236">
        <f t="shared" si="50"/>
        <v>-3075</v>
      </c>
      <c r="Y255" s="253">
        <f t="shared" si="51"/>
        <v>0</v>
      </c>
    </row>
    <row r="256" spans="1:25" x14ac:dyDescent="0.25">
      <c r="A256" s="111">
        <f>Données!A256</f>
        <v>5854</v>
      </c>
      <c r="B256" s="119" t="str">
        <f>Données!B256</f>
        <v>Burtigny</v>
      </c>
      <c r="C256" s="252">
        <f>Données!C256</f>
        <v>406</v>
      </c>
      <c r="D256" s="265"/>
      <c r="E256" s="249">
        <f>Données!X256</f>
        <v>561</v>
      </c>
      <c r="F256" s="286">
        <f t="shared" si="39"/>
        <v>1.3817733990147782</v>
      </c>
      <c r="G256" s="265">
        <f t="shared" si="40"/>
        <v>310.41874999999999</v>
      </c>
      <c r="H256" s="273">
        <f t="shared" si="46"/>
        <v>250.58125000000001</v>
      </c>
      <c r="I256" s="287">
        <f t="shared" si="47"/>
        <v>-26719</v>
      </c>
      <c r="J256" s="265"/>
      <c r="K256" s="274">
        <f>Données!Y256</f>
        <v>292</v>
      </c>
      <c r="L256" s="441">
        <f>Données!Z256</f>
        <v>6.3E-2</v>
      </c>
      <c r="M256" s="265">
        <f t="shared" si="41"/>
        <v>36.946290801186947</v>
      </c>
      <c r="N256" s="287">
        <f t="shared" si="42"/>
        <v>-10788</v>
      </c>
      <c r="O256" s="265"/>
      <c r="P256" s="249">
        <f>Données!AA256</f>
        <v>48</v>
      </c>
      <c r="Q256" s="284">
        <f>Données!AB256</f>
        <v>48</v>
      </c>
      <c r="R256" s="236">
        <f t="shared" si="43"/>
        <v>55.2</v>
      </c>
      <c r="S256" s="288">
        <f t="shared" si="44"/>
        <v>0.13596059113300493</v>
      </c>
      <c r="T256" s="273">
        <f t="shared" si="45"/>
        <v>55.295705521472364</v>
      </c>
      <c r="U256" s="273">
        <f t="shared" si="48"/>
        <v>0</v>
      </c>
      <c r="V256" s="287">
        <f t="shared" si="49"/>
        <v>0</v>
      </c>
      <c r="W256" s="340"/>
      <c r="X256" s="236">
        <f t="shared" si="50"/>
        <v>0</v>
      </c>
      <c r="Y256" s="253">
        <f t="shared" si="51"/>
        <v>0</v>
      </c>
    </row>
    <row r="257" spans="1:25" x14ac:dyDescent="0.25">
      <c r="A257" s="111">
        <f>Données!A257</f>
        <v>5855</v>
      </c>
      <c r="B257" s="119" t="str">
        <f>Données!B257</f>
        <v>Dully</v>
      </c>
      <c r="C257" s="252">
        <f>Données!C257</f>
        <v>637</v>
      </c>
      <c r="D257" s="265"/>
      <c r="E257" s="249">
        <f>Données!X257</f>
        <v>163</v>
      </c>
      <c r="F257" s="286">
        <f t="shared" si="39"/>
        <v>0.25588697017268447</v>
      </c>
      <c r="G257" s="265">
        <f t="shared" si="40"/>
        <v>487.03631465517242</v>
      </c>
      <c r="H257" s="273">
        <f t="shared" si="46"/>
        <v>0</v>
      </c>
      <c r="I257" s="287">
        <f t="shared" si="47"/>
        <v>0</v>
      </c>
      <c r="J257" s="265"/>
      <c r="K257" s="274">
        <f>Données!Y257</f>
        <v>0</v>
      </c>
      <c r="L257" s="441">
        <f>Données!Z257</f>
        <v>6.3E-2</v>
      </c>
      <c r="M257" s="265">
        <f t="shared" si="41"/>
        <v>36.946290801186947</v>
      </c>
      <c r="N257" s="287">
        <f t="shared" si="42"/>
        <v>0</v>
      </c>
      <c r="O257" s="265"/>
      <c r="P257" s="249">
        <f>Données!AA257</f>
        <v>56</v>
      </c>
      <c r="Q257" s="284">
        <f>Données!AB257</f>
        <v>36</v>
      </c>
      <c r="R257" s="236">
        <f t="shared" si="43"/>
        <v>61.4</v>
      </c>
      <c r="S257" s="288">
        <f t="shared" si="44"/>
        <v>9.6389324960753531E-2</v>
      </c>
      <c r="T257" s="273">
        <f t="shared" si="45"/>
        <v>86.757055214723891</v>
      </c>
      <c r="U257" s="273">
        <f t="shared" si="48"/>
        <v>0</v>
      </c>
      <c r="V257" s="287">
        <f t="shared" si="49"/>
        <v>0</v>
      </c>
      <c r="W257" s="340"/>
      <c r="X257" s="236">
        <f t="shared" si="50"/>
        <v>0</v>
      </c>
      <c r="Y257" s="253">
        <f t="shared" si="51"/>
        <v>0</v>
      </c>
    </row>
    <row r="258" spans="1:25" x14ac:dyDescent="0.25">
      <c r="A258" s="111">
        <f>Données!A258</f>
        <v>5856</v>
      </c>
      <c r="B258" s="119" t="str">
        <f>Données!B258</f>
        <v>Essertines-sur-Rolle</v>
      </c>
      <c r="C258" s="252">
        <f>Données!C258</f>
        <v>770</v>
      </c>
      <c r="D258" s="265"/>
      <c r="E258" s="249">
        <f>Données!X258</f>
        <v>700</v>
      </c>
      <c r="F258" s="286">
        <f t="shared" si="39"/>
        <v>0.90909090909090906</v>
      </c>
      <c r="G258" s="265">
        <f t="shared" si="40"/>
        <v>588.72521551724139</v>
      </c>
      <c r="H258" s="273">
        <f t="shared" si="46"/>
        <v>111.27478448275861</v>
      </c>
      <c r="I258" s="287">
        <f t="shared" si="47"/>
        <v>-11865</v>
      </c>
      <c r="J258" s="265"/>
      <c r="K258" s="274">
        <f>Données!Y258</f>
        <v>139</v>
      </c>
      <c r="L258" s="441">
        <f>Données!Z258</f>
        <v>7.0999999999999994E-2</v>
      </c>
      <c r="M258" s="265">
        <f t="shared" si="41"/>
        <v>41.637883283877343</v>
      </c>
      <c r="N258" s="287">
        <f t="shared" si="42"/>
        <v>-5788</v>
      </c>
      <c r="O258" s="265"/>
      <c r="P258" s="249">
        <f>Données!AA258</f>
        <v>110</v>
      </c>
      <c r="Q258" s="284">
        <f>Données!AB258</f>
        <v>77</v>
      </c>
      <c r="R258" s="236">
        <f t="shared" si="43"/>
        <v>121.55</v>
      </c>
      <c r="S258" s="288">
        <f t="shared" si="44"/>
        <v>0.15785714285714286</v>
      </c>
      <c r="T258" s="273">
        <f t="shared" si="45"/>
        <v>104.87116564417173</v>
      </c>
      <c r="U258" s="273">
        <f t="shared" si="48"/>
        <v>16.678834355828272</v>
      </c>
      <c r="V258" s="287">
        <f t="shared" si="49"/>
        <v>-71137</v>
      </c>
      <c r="W258" s="340"/>
      <c r="X258" s="236">
        <f t="shared" si="50"/>
        <v>-49261.721068249251</v>
      </c>
      <c r="Y258" s="253">
        <f t="shared" si="51"/>
        <v>-21875.278931750749</v>
      </c>
    </row>
    <row r="259" spans="1:25" x14ac:dyDescent="0.25">
      <c r="A259" s="111">
        <f>Données!A259</f>
        <v>5857</v>
      </c>
      <c r="B259" s="119" t="str">
        <f>Données!B259</f>
        <v>Gilly</v>
      </c>
      <c r="C259" s="252">
        <f>Données!C259</f>
        <v>1429</v>
      </c>
      <c r="D259" s="265"/>
      <c r="E259" s="249">
        <f>Données!X259</f>
        <v>772</v>
      </c>
      <c r="F259" s="286">
        <f t="shared" si="39"/>
        <v>0.54023792862141362</v>
      </c>
      <c r="G259" s="265">
        <f t="shared" si="40"/>
        <v>1092.5822506157635</v>
      </c>
      <c r="H259" s="273">
        <f t="shared" si="46"/>
        <v>0</v>
      </c>
      <c r="I259" s="287">
        <f t="shared" si="47"/>
        <v>0</v>
      </c>
      <c r="J259" s="265"/>
      <c r="K259" s="274">
        <f>Données!Y259</f>
        <v>14</v>
      </c>
      <c r="L259" s="441">
        <f>Données!Z259</f>
        <v>0.22800000000000001</v>
      </c>
      <c r="M259" s="265">
        <f t="shared" si="41"/>
        <v>133.71038575667657</v>
      </c>
      <c r="N259" s="287">
        <f t="shared" si="42"/>
        <v>-1872</v>
      </c>
      <c r="O259" s="265"/>
      <c r="P259" s="249">
        <f>Données!AA259</f>
        <v>157</v>
      </c>
      <c r="Q259" s="284">
        <f>Données!AB259</f>
        <v>72</v>
      </c>
      <c r="R259" s="236">
        <f t="shared" si="43"/>
        <v>167.8</v>
      </c>
      <c r="S259" s="288">
        <f t="shared" si="44"/>
        <v>0.11742477256822954</v>
      </c>
      <c r="T259" s="273">
        <f t="shared" si="45"/>
        <v>194.62453987730052</v>
      </c>
      <c r="U259" s="273">
        <f t="shared" si="48"/>
        <v>0</v>
      </c>
      <c r="V259" s="287">
        <f t="shared" si="49"/>
        <v>0</v>
      </c>
      <c r="W259" s="340"/>
      <c r="X259" s="236">
        <f t="shared" si="50"/>
        <v>0</v>
      </c>
      <c r="Y259" s="253">
        <f t="shared" si="51"/>
        <v>0</v>
      </c>
    </row>
    <row r="260" spans="1:25" x14ac:dyDescent="0.25">
      <c r="A260" s="111">
        <f>Données!A260</f>
        <v>5858</v>
      </c>
      <c r="B260" s="119" t="str">
        <f>Données!B260</f>
        <v>Luins</v>
      </c>
      <c r="C260" s="252">
        <f>Données!C260</f>
        <v>640</v>
      </c>
      <c r="D260" s="265"/>
      <c r="E260" s="249">
        <f>Données!X260</f>
        <v>262</v>
      </c>
      <c r="F260" s="286">
        <f t="shared" si="39"/>
        <v>0.40937499999999999</v>
      </c>
      <c r="G260" s="265">
        <f t="shared" si="40"/>
        <v>489.33004926108373</v>
      </c>
      <c r="H260" s="273">
        <f t="shared" si="46"/>
        <v>0</v>
      </c>
      <c r="I260" s="287">
        <f t="shared" si="47"/>
        <v>0</v>
      </c>
      <c r="J260" s="265"/>
      <c r="K260" s="274">
        <f>Données!Y260</f>
        <v>0</v>
      </c>
      <c r="L260" s="441">
        <f>Données!Z260</f>
        <v>7.3999999999999996E-2</v>
      </c>
      <c r="M260" s="265">
        <f t="shared" si="41"/>
        <v>43.397230464886249</v>
      </c>
      <c r="N260" s="287">
        <f t="shared" si="42"/>
        <v>0</v>
      </c>
      <c r="O260" s="265"/>
      <c r="P260" s="249">
        <f>Données!AA260</f>
        <v>79</v>
      </c>
      <c r="Q260" s="284">
        <f>Données!AB260</f>
        <v>70</v>
      </c>
      <c r="R260" s="236">
        <f t="shared" si="43"/>
        <v>89.5</v>
      </c>
      <c r="S260" s="288">
        <f t="shared" si="44"/>
        <v>0.13984374999999999</v>
      </c>
      <c r="T260" s="273">
        <f t="shared" si="45"/>
        <v>87.165644171779093</v>
      </c>
      <c r="U260" s="273">
        <f t="shared" si="48"/>
        <v>2.3343558282209074</v>
      </c>
      <c r="V260" s="287">
        <f t="shared" si="49"/>
        <v>-9956</v>
      </c>
      <c r="W260" s="340"/>
      <c r="X260" s="236">
        <f t="shared" si="50"/>
        <v>-9956</v>
      </c>
      <c r="Y260" s="253">
        <f t="shared" si="51"/>
        <v>0</v>
      </c>
    </row>
    <row r="261" spans="1:25" x14ac:dyDescent="0.25">
      <c r="A261" s="111">
        <f>Données!A261</f>
        <v>5859</v>
      </c>
      <c r="B261" s="119" t="str">
        <f>Données!B261</f>
        <v>Mont-sur-Rolle</v>
      </c>
      <c r="C261" s="252">
        <f>Données!C261</f>
        <v>2759</v>
      </c>
      <c r="D261" s="265"/>
      <c r="E261" s="249">
        <f>Données!X261</f>
        <v>385</v>
      </c>
      <c r="F261" s="286">
        <f t="shared" si="39"/>
        <v>0.13954331279449075</v>
      </c>
      <c r="G261" s="265">
        <f t="shared" si="40"/>
        <v>2109.4712592364531</v>
      </c>
      <c r="H261" s="273">
        <f t="shared" si="46"/>
        <v>0</v>
      </c>
      <c r="I261" s="287">
        <f t="shared" si="47"/>
        <v>0</v>
      </c>
      <c r="J261" s="265"/>
      <c r="K261" s="274">
        <f>Données!Y261</f>
        <v>7</v>
      </c>
      <c r="L261" s="441">
        <f>Données!Z261</f>
        <v>0.161</v>
      </c>
      <c r="M261" s="265">
        <f t="shared" si="41"/>
        <v>94.418298714144413</v>
      </c>
      <c r="N261" s="287">
        <f t="shared" si="42"/>
        <v>-661</v>
      </c>
      <c r="O261" s="265"/>
      <c r="P261" s="249">
        <f>Données!AA261</f>
        <v>325</v>
      </c>
      <c r="Q261" s="284">
        <f>Données!AB261</f>
        <v>20</v>
      </c>
      <c r="R261" s="236">
        <f t="shared" si="43"/>
        <v>328</v>
      </c>
      <c r="S261" s="288">
        <f t="shared" si="44"/>
        <v>0.11888365349764407</v>
      </c>
      <c r="T261" s="273">
        <f t="shared" si="45"/>
        <v>375.76564417177894</v>
      </c>
      <c r="U261" s="273">
        <f t="shared" si="48"/>
        <v>0</v>
      </c>
      <c r="V261" s="287">
        <f t="shared" si="49"/>
        <v>0</v>
      </c>
      <c r="W261" s="340"/>
      <c r="X261" s="236">
        <f t="shared" si="50"/>
        <v>0</v>
      </c>
      <c r="Y261" s="253">
        <f t="shared" si="51"/>
        <v>0</v>
      </c>
    </row>
    <row r="262" spans="1:25" x14ac:dyDescent="0.25">
      <c r="A262" s="111">
        <f>Données!A262</f>
        <v>5860</v>
      </c>
      <c r="B262" s="119" t="str">
        <f>Données!B262</f>
        <v>Perroy</v>
      </c>
      <c r="C262" s="252">
        <f>Données!C262</f>
        <v>1573</v>
      </c>
      <c r="D262" s="265"/>
      <c r="E262" s="249">
        <f>Données!X262</f>
        <v>286</v>
      </c>
      <c r="F262" s="286">
        <f t="shared" si="39"/>
        <v>0.18181818181818182</v>
      </c>
      <c r="G262" s="265">
        <f t="shared" si="40"/>
        <v>1202.6815116995074</v>
      </c>
      <c r="H262" s="273">
        <f t="shared" si="46"/>
        <v>0</v>
      </c>
      <c r="I262" s="287">
        <f t="shared" si="47"/>
        <v>0</v>
      </c>
      <c r="J262" s="265"/>
      <c r="K262" s="274">
        <f>Données!Y262</f>
        <v>0</v>
      </c>
      <c r="L262" s="441">
        <f>Données!Z262</f>
        <v>6.9000000000000006E-2</v>
      </c>
      <c r="M262" s="265">
        <f t="shared" si="41"/>
        <v>40.464985163204751</v>
      </c>
      <c r="N262" s="287">
        <f t="shared" si="42"/>
        <v>0</v>
      </c>
      <c r="O262" s="265"/>
      <c r="P262" s="249">
        <f>Données!AA262</f>
        <v>164</v>
      </c>
      <c r="Q262" s="284">
        <f>Données!AB262</f>
        <v>78</v>
      </c>
      <c r="R262" s="236">
        <f t="shared" si="43"/>
        <v>175.7</v>
      </c>
      <c r="S262" s="288">
        <f t="shared" si="44"/>
        <v>0.11169739351557532</v>
      </c>
      <c r="T262" s="273">
        <f t="shared" si="45"/>
        <v>214.23680981595081</v>
      </c>
      <c r="U262" s="273">
        <f t="shared" si="48"/>
        <v>0</v>
      </c>
      <c r="V262" s="287">
        <f t="shared" si="49"/>
        <v>0</v>
      </c>
      <c r="W262" s="340"/>
      <c r="X262" s="236">
        <f t="shared" si="50"/>
        <v>0</v>
      </c>
      <c r="Y262" s="253">
        <f t="shared" si="51"/>
        <v>0</v>
      </c>
    </row>
    <row r="263" spans="1:25" x14ac:dyDescent="0.25">
      <c r="A263" s="111">
        <f>Données!A263</f>
        <v>5861</v>
      </c>
      <c r="B263" s="119" t="str">
        <f>Données!B263</f>
        <v>Rolle</v>
      </c>
      <c r="C263" s="252">
        <f>Données!C263</f>
        <v>6604</v>
      </c>
      <c r="D263" s="265"/>
      <c r="E263" s="249">
        <f>Données!X263</f>
        <v>268</v>
      </c>
      <c r="F263" s="286">
        <f t="shared" si="39"/>
        <v>4.0581465778316173E-2</v>
      </c>
      <c r="G263" s="265">
        <f t="shared" si="40"/>
        <v>5049.2744458128082</v>
      </c>
      <c r="H263" s="273">
        <f t="shared" si="46"/>
        <v>0</v>
      </c>
      <c r="I263" s="287">
        <f t="shared" si="47"/>
        <v>0</v>
      </c>
      <c r="J263" s="265"/>
      <c r="K263" s="274">
        <f>Données!Y263</f>
        <v>0</v>
      </c>
      <c r="L263" s="441">
        <f>Données!Z263</f>
        <v>4.1000000000000002E-2</v>
      </c>
      <c r="M263" s="265">
        <f t="shared" si="41"/>
        <v>24.04441147378833</v>
      </c>
      <c r="N263" s="287">
        <f t="shared" si="42"/>
        <v>0</v>
      </c>
      <c r="O263" s="265"/>
      <c r="P263" s="249">
        <f>Données!AA263</f>
        <v>643</v>
      </c>
      <c r="Q263" s="284">
        <f>Données!AB263</f>
        <v>8</v>
      </c>
      <c r="R263" s="236">
        <f t="shared" si="43"/>
        <v>644.20000000000005</v>
      </c>
      <c r="S263" s="288">
        <f t="shared" si="44"/>
        <v>9.7546941247728655E-2</v>
      </c>
      <c r="T263" s="273">
        <f t="shared" si="45"/>
        <v>899.44049079754564</v>
      </c>
      <c r="U263" s="273">
        <f t="shared" si="48"/>
        <v>0</v>
      </c>
      <c r="V263" s="287">
        <f t="shared" si="49"/>
        <v>0</v>
      </c>
      <c r="W263" s="340"/>
      <c r="X263" s="236">
        <f t="shared" si="50"/>
        <v>0</v>
      </c>
      <c r="Y263" s="253">
        <f t="shared" si="51"/>
        <v>0</v>
      </c>
    </row>
    <row r="264" spans="1:25" x14ac:dyDescent="0.25">
      <c r="A264" s="111">
        <f>Données!A264</f>
        <v>5862</v>
      </c>
      <c r="B264" s="119" t="str">
        <f>Données!B264</f>
        <v>Tartegnin</v>
      </c>
      <c r="C264" s="252">
        <f>Données!C264</f>
        <v>246</v>
      </c>
      <c r="D264" s="265"/>
      <c r="E264" s="249">
        <f>Données!X264</f>
        <v>108</v>
      </c>
      <c r="F264" s="286">
        <f t="shared" ref="F264:F306" si="52">E264/C264</f>
        <v>0.43902439024390244</v>
      </c>
      <c r="G264" s="265">
        <f t="shared" ref="G264:G307" si="53">C264*$I$4</f>
        <v>188.08623768472907</v>
      </c>
      <c r="H264" s="273">
        <f t="shared" si="46"/>
        <v>0</v>
      </c>
      <c r="I264" s="287">
        <f t="shared" si="47"/>
        <v>0</v>
      </c>
      <c r="J264" s="265"/>
      <c r="K264" s="274">
        <f>Données!Y264</f>
        <v>0</v>
      </c>
      <c r="L264" s="441">
        <f>Données!Z264</f>
        <v>0.221</v>
      </c>
      <c r="M264" s="265">
        <f t="shared" ref="M264:M307" si="54">L264*$N$5</f>
        <v>129.60524233432247</v>
      </c>
      <c r="N264" s="287">
        <f t="shared" ref="N264:N307" si="55">ROUND(-M264*K264,0)</f>
        <v>0</v>
      </c>
      <c r="O264" s="265"/>
      <c r="P264" s="249">
        <f>Données!AA264</f>
        <v>23</v>
      </c>
      <c r="Q264" s="284">
        <f>Données!AB264</f>
        <v>5</v>
      </c>
      <c r="R264" s="236">
        <f t="shared" ref="R264:R307" si="56">P264*$P$6+Q264*$Q$6</f>
        <v>23.75</v>
      </c>
      <c r="S264" s="288">
        <f t="shared" ref="S264:S307" si="57">R264/C264</f>
        <v>9.6544715447154469E-2</v>
      </c>
      <c r="T264" s="273">
        <f t="shared" ref="T264:T307" si="58">$V$4*C264</f>
        <v>33.504294478527591</v>
      </c>
      <c r="U264" s="273">
        <f t="shared" si="48"/>
        <v>0</v>
      </c>
      <c r="V264" s="287">
        <f t="shared" si="49"/>
        <v>0</v>
      </c>
      <c r="W264" s="340"/>
      <c r="X264" s="236">
        <f t="shared" si="50"/>
        <v>0</v>
      </c>
      <c r="Y264" s="253">
        <f t="shared" si="51"/>
        <v>0</v>
      </c>
    </row>
    <row r="265" spans="1:25" x14ac:dyDescent="0.25">
      <c r="A265" s="111">
        <f>Données!A265</f>
        <v>5863</v>
      </c>
      <c r="B265" s="119" t="str">
        <f>Données!B265</f>
        <v>Vinzel</v>
      </c>
      <c r="C265" s="252">
        <f>Données!C265</f>
        <v>385</v>
      </c>
      <c r="D265" s="265"/>
      <c r="E265" s="249">
        <f>Données!X265</f>
        <v>109</v>
      </c>
      <c r="F265" s="286">
        <f t="shared" si="52"/>
        <v>0.2831168831168831</v>
      </c>
      <c r="G265" s="265">
        <f t="shared" si="53"/>
        <v>294.3626077586207</v>
      </c>
      <c r="H265" s="273">
        <f t="shared" ref="H265:H307" si="59">IF(E265&gt;G265,E265-G265,0)</f>
        <v>0</v>
      </c>
      <c r="I265" s="287">
        <f t="shared" ref="I265:I307" si="60">ROUND(-H265*$I$5,0)</f>
        <v>0</v>
      </c>
      <c r="J265" s="265"/>
      <c r="K265" s="274">
        <f>Données!Y265</f>
        <v>0</v>
      </c>
      <c r="L265" s="441">
        <f>Données!Z265</f>
        <v>0.152</v>
      </c>
      <c r="M265" s="265">
        <f t="shared" si="54"/>
        <v>89.14025717111771</v>
      </c>
      <c r="N265" s="287">
        <f t="shared" si="55"/>
        <v>0</v>
      </c>
      <c r="O265" s="265"/>
      <c r="P265" s="249">
        <f>Données!AA265</f>
        <v>35</v>
      </c>
      <c r="Q265" s="284">
        <f>Données!AB265</f>
        <v>25</v>
      </c>
      <c r="R265" s="236">
        <f t="shared" si="56"/>
        <v>38.75</v>
      </c>
      <c r="S265" s="288">
        <f t="shared" si="57"/>
        <v>0.10064935064935066</v>
      </c>
      <c r="T265" s="273">
        <f t="shared" si="58"/>
        <v>52.435582822085863</v>
      </c>
      <c r="U265" s="273">
        <f t="shared" ref="U265:U307" si="61">IF(R265&gt;T265,R265-T265,0)</f>
        <v>0</v>
      </c>
      <c r="V265" s="287">
        <f t="shared" ref="V265:V307" si="62">ROUND(-$V$5*U265,0)</f>
        <v>0</v>
      </c>
      <c r="W265" s="340"/>
      <c r="X265" s="236">
        <f t="shared" ref="X265:X307" si="63">IF(-Q265*$Q$6*$V$5&gt;V265,-Q265*$Q$6*$V$5,V265)</f>
        <v>0</v>
      </c>
      <c r="Y265" s="253">
        <f t="shared" ref="Y265:Y307" si="64">IF(X265&gt;V265,V265-X265,0)</f>
        <v>0</v>
      </c>
    </row>
    <row r="266" spans="1:25" x14ac:dyDescent="0.25">
      <c r="A266" s="111">
        <f>Données!A266</f>
        <v>5871</v>
      </c>
      <c r="B266" s="119" t="str">
        <f>Données!B266</f>
        <v>L'Abbaye</v>
      </c>
      <c r="C266" s="252">
        <f>Données!C266</f>
        <v>1599</v>
      </c>
      <c r="D266" s="265"/>
      <c r="E266" s="249">
        <f>Données!X266</f>
        <v>3145</v>
      </c>
      <c r="F266" s="286">
        <f t="shared" si="52"/>
        <v>1.9668542839274548</v>
      </c>
      <c r="G266" s="265">
        <f t="shared" si="53"/>
        <v>1222.5605449507389</v>
      </c>
      <c r="H266" s="273">
        <f t="shared" si="59"/>
        <v>1922.4394550492611</v>
      </c>
      <c r="I266" s="287">
        <f t="shared" si="60"/>
        <v>-204984</v>
      </c>
      <c r="J266" s="265"/>
      <c r="K266" s="274">
        <f>Données!Y266</f>
        <v>1599</v>
      </c>
      <c r="L266" s="441">
        <f>Données!Z266</f>
        <v>0.20399999999999999</v>
      </c>
      <c r="M266" s="265">
        <f t="shared" si="54"/>
        <v>119.63560830860534</v>
      </c>
      <c r="N266" s="287">
        <f t="shared" si="55"/>
        <v>-191297</v>
      </c>
      <c r="O266" s="265"/>
      <c r="P266" s="249">
        <f>Données!AA266</f>
        <v>165</v>
      </c>
      <c r="Q266" s="284">
        <f>Données!AB266</f>
        <v>122</v>
      </c>
      <c r="R266" s="236">
        <f t="shared" si="56"/>
        <v>183.3</v>
      </c>
      <c r="S266" s="288">
        <f t="shared" si="57"/>
        <v>0.11463414634146342</v>
      </c>
      <c r="T266" s="273">
        <f t="shared" si="58"/>
        <v>217.77791411042935</v>
      </c>
      <c r="U266" s="273">
        <f t="shared" si="61"/>
        <v>0</v>
      </c>
      <c r="V266" s="287">
        <f t="shared" si="62"/>
        <v>0</v>
      </c>
      <c r="W266" s="340"/>
      <c r="X266" s="236">
        <f t="shared" si="63"/>
        <v>0</v>
      </c>
      <c r="Y266" s="253">
        <f t="shared" si="64"/>
        <v>0</v>
      </c>
    </row>
    <row r="267" spans="1:25" x14ac:dyDescent="0.25">
      <c r="A267" s="111">
        <f>Données!A267</f>
        <v>5872</v>
      </c>
      <c r="B267" s="119" t="str">
        <f>Données!B267</f>
        <v>Le Chenit</v>
      </c>
      <c r="C267" s="252">
        <f>Données!C267</f>
        <v>4792</v>
      </c>
      <c r="D267" s="265"/>
      <c r="E267" s="249">
        <f>Données!X267</f>
        <v>9779</v>
      </c>
      <c r="F267" s="286">
        <f t="shared" si="52"/>
        <v>2.0406928213689484</v>
      </c>
      <c r="G267" s="265">
        <f t="shared" si="53"/>
        <v>3663.8587438423647</v>
      </c>
      <c r="H267" s="273">
        <f t="shared" si="59"/>
        <v>6115.1412561576353</v>
      </c>
      <c r="I267" s="287">
        <f t="shared" si="60"/>
        <v>-652040</v>
      </c>
      <c r="J267" s="265"/>
      <c r="K267" s="274">
        <f>Données!Y267</f>
        <v>4792</v>
      </c>
      <c r="L267" s="441">
        <f>Données!Z267</f>
        <v>0.127</v>
      </c>
      <c r="M267" s="265">
        <f t="shared" si="54"/>
        <v>74.479030662710187</v>
      </c>
      <c r="N267" s="287">
        <f t="shared" si="55"/>
        <v>-356904</v>
      </c>
      <c r="O267" s="265"/>
      <c r="P267" s="249">
        <f>Données!AA267</f>
        <v>511</v>
      </c>
      <c r="Q267" s="284">
        <f>Données!AB267</f>
        <v>81</v>
      </c>
      <c r="R267" s="236">
        <f t="shared" si="56"/>
        <v>523.15</v>
      </c>
      <c r="S267" s="288">
        <f t="shared" si="57"/>
        <v>0.10917153589315526</v>
      </c>
      <c r="T267" s="273">
        <f t="shared" si="58"/>
        <v>652.652760736196</v>
      </c>
      <c r="U267" s="273">
        <f t="shared" si="61"/>
        <v>0</v>
      </c>
      <c r="V267" s="287">
        <f t="shared" si="62"/>
        <v>0</v>
      </c>
      <c r="W267" s="340"/>
      <c r="X267" s="236">
        <f t="shared" si="63"/>
        <v>0</v>
      </c>
      <c r="Y267" s="253">
        <f t="shared" si="64"/>
        <v>0</v>
      </c>
    </row>
    <row r="268" spans="1:25" x14ac:dyDescent="0.25">
      <c r="A268" s="111">
        <f>Données!A268</f>
        <v>5873</v>
      </c>
      <c r="B268" s="119" t="str">
        <f>Données!B268</f>
        <v>Le Lieu</v>
      </c>
      <c r="C268" s="252">
        <f>Données!C268</f>
        <v>926</v>
      </c>
      <c r="D268" s="265"/>
      <c r="E268" s="249">
        <f>Données!X268</f>
        <v>3181</v>
      </c>
      <c r="F268" s="286">
        <f t="shared" si="52"/>
        <v>3.435205183585313</v>
      </c>
      <c r="G268" s="265">
        <f t="shared" si="53"/>
        <v>707.99941502463059</v>
      </c>
      <c r="H268" s="273">
        <f t="shared" si="59"/>
        <v>2473.0005849753693</v>
      </c>
      <c r="I268" s="287">
        <f t="shared" si="60"/>
        <v>-263689</v>
      </c>
      <c r="J268" s="265"/>
      <c r="K268" s="274">
        <f>Données!Y268</f>
        <v>926</v>
      </c>
      <c r="L268" s="441">
        <f>Données!Z268</f>
        <v>0.123</v>
      </c>
      <c r="M268" s="265">
        <f t="shared" si="54"/>
        <v>72.133234421364989</v>
      </c>
      <c r="N268" s="287">
        <f t="shared" si="55"/>
        <v>-66795</v>
      </c>
      <c r="O268" s="265"/>
      <c r="P268" s="249">
        <f>Données!AA268</f>
        <v>107</v>
      </c>
      <c r="Q268" s="284">
        <f>Données!AB268</f>
        <v>84</v>
      </c>
      <c r="R268" s="236">
        <f t="shared" si="56"/>
        <v>119.6</v>
      </c>
      <c r="S268" s="288">
        <f t="shared" si="57"/>
        <v>0.12915766738660905</v>
      </c>
      <c r="T268" s="273">
        <f t="shared" si="58"/>
        <v>126.11779141104289</v>
      </c>
      <c r="U268" s="273">
        <f t="shared" si="61"/>
        <v>0</v>
      </c>
      <c r="V268" s="287">
        <f t="shared" si="62"/>
        <v>0</v>
      </c>
      <c r="W268" s="340"/>
      <c r="X268" s="236">
        <f t="shared" si="63"/>
        <v>0</v>
      </c>
      <c r="Y268" s="253">
        <f t="shared" si="64"/>
        <v>0</v>
      </c>
    </row>
    <row r="269" spans="1:25" x14ac:dyDescent="0.25">
      <c r="A269" s="111">
        <f>Données!A269</f>
        <v>5882</v>
      </c>
      <c r="B269" s="119" t="str">
        <f>Données!B269</f>
        <v>Chardonne</v>
      </c>
      <c r="C269" s="252">
        <f>Données!C269</f>
        <v>3384</v>
      </c>
      <c r="D269" s="265"/>
      <c r="E269" s="249">
        <f>Données!X269</f>
        <v>1024</v>
      </c>
      <c r="F269" s="286">
        <f t="shared" si="52"/>
        <v>0.30260047281323876</v>
      </c>
      <c r="G269" s="265">
        <f t="shared" si="53"/>
        <v>2587.3326354679803</v>
      </c>
      <c r="H269" s="273">
        <f t="shared" si="59"/>
        <v>0</v>
      </c>
      <c r="I269" s="287">
        <f t="shared" si="60"/>
        <v>0</v>
      </c>
      <c r="J269" s="265"/>
      <c r="K269" s="274">
        <f>Données!Y269</f>
        <v>1107</v>
      </c>
      <c r="L269" s="441">
        <f>Données!Z269</f>
        <v>0.32900000000000001</v>
      </c>
      <c r="M269" s="265">
        <f t="shared" si="54"/>
        <v>192.94174085064293</v>
      </c>
      <c r="N269" s="287">
        <f t="shared" si="55"/>
        <v>-213587</v>
      </c>
      <c r="O269" s="265"/>
      <c r="P269" s="249">
        <f>Données!AA269</f>
        <v>270</v>
      </c>
      <c r="Q269" s="284">
        <f>Données!AB269</f>
        <v>85</v>
      </c>
      <c r="R269" s="236">
        <f t="shared" si="56"/>
        <v>282.75</v>
      </c>
      <c r="S269" s="288">
        <f t="shared" si="57"/>
        <v>8.3554964539007098E-2</v>
      </c>
      <c r="T269" s="273">
        <f t="shared" si="58"/>
        <v>460.88834355828197</v>
      </c>
      <c r="U269" s="273">
        <f t="shared" si="61"/>
        <v>0</v>
      </c>
      <c r="V269" s="287">
        <f t="shared" si="62"/>
        <v>0</v>
      </c>
      <c r="W269" s="340"/>
      <c r="X269" s="236">
        <f t="shared" si="63"/>
        <v>0</v>
      </c>
      <c r="Y269" s="253">
        <f t="shared" si="64"/>
        <v>0</v>
      </c>
    </row>
    <row r="270" spans="1:25" x14ac:dyDescent="0.25">
      <c r="A270" s="111">
        <f>Données!A270</f>
        <v>5883</v>
      </c>
      <c r="B270" s="119" t="str">
        <f>Données!B270</f>
        <v>Corseaux</v>
      </c>
      <c r="C270" s="252">
        <f>Données!C270</f>
        <v>2326</v>
      </c>
      <c r="D270" s="265"/>
      <c r="E270" s="249">
        <f>Données!X270</f>
        <v>106</v>
      </c>
      <c r="F270" s="286">
        <f t="shared" si="52"/>
        <v>4.5571797076526227E-2</v>
      </c>
      <c r="G270" s="265">
        <f t="shared" si="53"/>
        <v>1778.4088977832512</v>
      </c>
      <c r="H270" s="273">
        <f t="shared" si="59"/>
        <v>0</v>
      </c>
      <c r="I270" s="287">
        <f t="shared" si="60"/>
        <v>0</v>
      </c>
      <c r="J270" s="265"/>
      <c r="K270" s="274">
        <f>Données!Y270</f>
        <v>0</v>
      </c>
      <c r="L270" s="441">
        <f>Données!Z270</f>
        <v>0.22500000000000001</v>
      </c>
      <c r="M270" s="265">
        <f t="shared" si="54"/>
        <v>131.95103857566767</v>
      </c>
      <c r="N270" s="287">
        <f t="shared" si="55"/>
        <v>0</v>
      </c>
      <c r="O270" s="265"/>
      <c r="P270" s="249">
        <f>Données!AA270</f>
        <v>198</v>
      </c>
      <c r="Q270" s="284">
        <f>Données!AB270</f>
        <v>3</v>
      </c>
      <c r="R270" s="236">
        <f t="shared" si="56"/>
        <v>198.45</v>
      </c>
      <c r="S270" s="288">
        <f t="shared" si="57"/>
        <v>8.5318142734307822E-2</v>
      </c>
      <c r="T270" s="273">
        <f t="shared" si="58"/>
        <v>316.79263803680965</v>
      </c>
      <c r="U270" s="273">
        <f t="shared" si="61"/>
        <v>0</v>
      </c>
      <c r="V270" s="287">
        <f t="shared" si="62"/>
        <v>0</v>
      </c>
      <c r="W270" s="340"/>
      <c r="X270" s="236">
        <f t="shared" si="63"/>
        <v>0</v>
      </c>
      <c r="Y270" s="253">
        <f t="shared" si="64"/>
        <v>0</v>
      </c>
    </row>
    <row r="271" spans="1:25" x14ac:dyDescent="0.25">
      <c r="A271" s="111">
        <f>Données!A271</f>
        <v>5884</v>
      </c>
      <c r="B271" s="119" t="str">
        <f>Données!B271</f>
        <v>Corsier-sur-Vevey</v>
      </c>
      <c r="C271" s="252">
        <f>Données!C271</f>
        <v>3458</v>
      </c>
      <c r="D271" s="265"/>
      <c r="E271" s="249">
        <f>Données!X271</f>
        <v>669</v>
      </c>
      <c r="F271" s="286">
        <f t="shared" si="52"/>
        <v>0.19346443030653557</v>
      </c>
      <c r="G271" s="265">
        <f t="shared" si="53"/>
        <v>2643.9114224137929</v>
      </c>
      <c r="H271" s="273">
        <f t="shared" si="59"/>
        <v>0</v>
      </c>
      <c r="I271" s="287">
        <f t="shared" si="60"/>
        <v>0</v>
      </c>
      <c r="J271" s="265"/>
      <c r="K271" s="274">
        <f>Données!Y271</f>
        <v>739</v>
      </c>
      <c r="L271" s="441">
        <f>Données!Z271</f>
        <v>0.38100000000000001</v>
      </c>
      <c r="M271" s="265">
        <f t="shared" si="54"/>
        <v>223.43709198813056</v>
      </c>
      <c r="N271" s="287">
        <f t="shared" si="55"/>
        <v>-165120</v>
      </c>
      <c r="O271" s="265"/>
      <c r="P271" s="249">
        <f>Données!AA271</f>
        <v>367</v>
      </c>
      <c r="Q271" s="284">
        <f>Données!AB271</f>
        <v>111</v>
      </c>
      <c r="R271" s="236">
        <f t="shared" si="56"/>
        <v>383.65</v>
      </c>
      <c r="S271" s="288">
        <f t="shared" si="57"/>
        <v>0.11094563331405435</v>
      </c>
      <c r="T271" s="273">
        <f t="shared" si="58"/>
        <v>470.96687116564397</v>
      </c>
      <c r="U271" s="273">
        <f t="shared" si="61"/>
        <v>0</v>
      </c>
      <c r="V271" s="287">
        <f t="shared" si="62"/>
        <v>0</v>
      </c>
      <c r="W271" s="340"/>
      <c r="X271" s="236">
        <f t="shared" si="63"/>
        <v>0</v>
      </c>
      <c r="Y271" s="253">
        <f t="shared" si="64"/>
        <v>0</v>
      </c>
    </row>
    <row r="272" spans="1:25" x14ac:dyDescent="0.25">
      <c r="A272" s="111">
        <f>Données!A272</f>
        <v>5885</v>
      </c>
      <c r="B272" s="119" t="str">
        <f>Données!B272</f>
        <v>Jongny</v>
      </c>
      <c r="C272" s="252">
        <f>Données!C272</f>
        <v>1917</v>
      </c>
      <c r="D272" s="265"/>
      <c r="E272" s="249">
        <f>Données!X272</f>
        <v>214</v>
      </c>
      <c r="F272" s="286">
        <f t="shared" si="52"/>
        <v>0.11163275952008346</v>
      </c>
      <c r="G272" s="265">
        <f t="shared" si="53"/>
        <v>1465.69641317734</v>
      </c>
      <c r="H272" s="273">
        <f t="shared" si="59"/>
        <v>0</v>
      </c>
      <c r="I272" s="287">
        <f t="shared" si="60"/>
        <v>0</v>
      </c>
      <c r="J272" s="265"/>
      <c r="K272" s="274">
        <f>Données!Y272</f>
        <v>225</v>
      </c>
      <c r="L272" s="441">
        <f>Données!Z272</f>
        <v>0.17399999999999999</v>
      </c>
      <c r="M272" s="265">
        <f t="shared" si="54"/>
        <v>102.04213649851631</v>
      </c>
      <c r="N272" s="287">
        <f t="shared" si="55"/>
        <v>-22959</v>
      </c>
      <c r="O272" s="265"/>
      <c r="P272" s="249">
        <f>Données!AA272</f>
        <v>236</v>
      </c>
      <c r="Q272" s="284">
        <f>Données!AB272</f>
        <v>33</v>
      </c>
      <c r="R272" s="236">
        <f t="shared" si="56"/>
        <v>240.95</v>
      </c>
      <c r="S272" s="288">
        <f t="shared" si="57"/>
        <v>0.12569118414188837</v>
      </c>
      <c r="T272" s="273">
        <f t="shared" si="58"/>
        <v>261.08834355828208</v>
      </c>
      <c r="U272" s="273">
        <f t="shared" si="61"/>
        <v>0</v>
      </c>
      <c r="V272" s="287">
        <f t="shared" si="62"/>
        <v>0</v>
      </c>
      <c r="W272" s="340"/>
      <c r="X272" s="236">
        <f t="shared" si="63"/>
        <v>0</v>
      </c>
      <c r="Y272" s="253">
        <f t="shared" si="64"/>
        <v>0</v>
      </c>
    </row>
    <row r="273" spans="1:25" x14ac:dyDescent="0.25">
      <c r="A273" s="111">
        <f>Données!A273</f>
        <v>5886</v>
      </c>
      <c r="B273" s="119" t="str">
        <f>Données!B273</f>
        <v>Montreux</v>
      </c>
      <c r="C273" s="252">
        <f>Données!C273</f>
        <v>27166</v>
      </c>
      <c r="D273" s="265"/>
      <c r="E273" s="249">
        <f>Données!X273</f>
        <v>3196</v>
      </c>
      <c r="F273" s="286">
        <f t="shared" si="52"/>
        <v>0.11764705882352941</v>
      </c>
      <c r="G273" s="265">
        <f t="shared" si="53"/>
        <v>20770.531434729062</v>
      </c>
      <c r="H273" s="273">
        <f t="shared" si="59"/>
        <v>0</v>
      </c>
      <c r="I273" s="287">
        <f t="shared" si="60"/>
        <v>0</v>
      </c>
      <c r="J273" s="265"/>
      <c r="K273" s="274">
        <f>Données!Y273</f>
        <v>1517</v>
      </c>
      <c r="L273" s="441">
        <f>Données!Z273</f>
        <v>0.70299999999999996</v>
      </c>
      <c r="M273" s="265">
        <f t="shared" si="54"/>
        <v>412.27368941641936</v>
      </c>
      <c r="N273" s="287">
        <f t="shared" si="55"/>
        <v>-625419</v>
      </c>
      <c r="O273" s="265"/>
      <c r="P273" s="249">
        <f>Données!AA273</f>
        <v>2407</v>
      </c>
      <c r="Q273" s="284">
        <f>Données!AB273</f>
        <v>172</v>
      </c>
      <c r="R273" s="236">
        <f t="shared" si="56"/>
        <v>2432.8000000000002</v>
      </c>
      <c r="S273" s="288">
        <f t="shared" si="57"/>
        <v>8.9553117867923152E-2</v>
      </c>
      <c r="T273" s="273">
        <f t="shared" si="58"/>
        <v>3699.9092024539859</v>
      </c>
      <c r="U273" s="273">
        <f t="shared" si="61"/>
        <v>0</v>
      </c>
      <c r="V273" s="287">
        <f t="shared" si="62"/>
        <v>0</v>
      </c>
      <c r="W273" s="340"/>
      <c r="X273" s="236">
        <f t="shared" si="63"/>
        <v>0</v>
      </c>
      <c r="Y273" s="253">
        <f t="shared" si="64"/>
        <v>0</v>
      </c>
    </row>
    <row r="274" spans="1:25" x14ac:dyDescent="0.25">
      <c r="A274" s="111">
        <f>Données!A274</f>
        <v>5889</v>
      </c>
      <c r="B274" s="119" t="str">
        <f>Données!B274</f>
        <v>La Tour-de-Peilz</v>
      </c>
      <c r="C274" s="252">
        <f>Données!C274</f>
        <v>13053</v>
      </c>
      <c r="D274" s="265"/>
      <c r="E274" s="249">
        <f>Données!X274</f>
        <v>326</v>
      </c>
      <c r="F274" s="286">
        <f t="shared" si="52"/>
        <v>2.4975101509231594E-2</v>
      </c>
      <c r="G274" s="265">
        <f t="shared" si="53"/>
        <v>9980.0392703201978</v>
      </c>
      <c r="H274" s="273">
        <f t="shared" si="59"/>
        <v>0</v>
      </c>
      <c r="I274" s="287">
        <f t="shared" si="60"/>
        <v>0</v>
      </c>
      <c r="J274" s="265"/>
      <c r="K274" s="274">
        <f>Données!Y274</f>
        <v>0</v>
      </c>
      <c r="L274" s="441">
        <f>Données!Z274</f>
        <v>0.12</v>
      </c>
      <c r="M274" s="265">
        <f t="shared" si="54"/>
        <v>70.373887240356083</v>
      </c>
      <c r="N274" s="287">
        <f t="shared" si="55"/>
        <v>0</v>
      </c>
      <c r="O274" s="265"/>
      <c r="P274" s="249">
        <f>Données!AA274</f>
        <v>1337</v>
      </c>
      <c r="Q274" s="284">
        <f>Données!AB274</f>
        <v>12</v>
      </c>
      <c r="R274" s="236">
        <f t="shared" si="56"/>
        <v>1338.8</v>
      </c>
      <c r="S274" s="288">
        <f t="shared" si="57"/>
        <v>0.10256645981766643</v>
      </c>
      <c r="T274" s="273">
        <f t="shared" si="58"/>
        <v>1777.7705521472385</v>
      </c>
      <c r="U274" s="273">
        <f t="shared" si="61"/>
        <v>0</v>
      </c>
      <c r="V274" s="287">
        <f t="shared" si="62"/>
        <v>0</v>
      </c>
      <c r="W274" s="340"/>
      <c r="X274" s="236">
        <f t="shared" si="63"/>
        <v>0</v>
      </c>
      <c r="Y274" s="253">
        <f t="shared" si="64"/>
        <v>0</v>
      </c>
    </row>
    <row r="275" spans="1:25" x14ac:dyDescent="0.25">
      <c r="A275" s="111">
        <f>Données!A275</f>
        <v>5890</v>
      </c>
      <c r="B275" s="119" t="str">
        <f>Données!B275</f>
        <v>Vevey</v>
      </c>
      <c r="C275" s="252">
        <f>Données!C275</f>
        <v>20179</v>
      </c>
      <c r="D275" s="265"/>
      <c r="E275" s="249">
        <f>Données!X275</f>
        <v>230</v>
      </c>
      <c r="F275" s="286">
        <f t="shared" si="52"/>
        <v>1.1397988007334358E-2</v>
      </c>
      <c r="G275" s="265">
        <f t="shared" si="53"/>
        <v>15428.423537561577</v>
      </c>
      <c r="H275" s="273">
        <f t="shared" si="59"/>
        <v>0</v>
      </c>
      <c r="I275" s="287">
        <f t="shared" si="60"/>
        <v>0</v>
      </c>
      <c r="J275" s="265"/>
      <c r="K275" s="274">
        <f>Données!Y275</f>
        <v>0</v>
      </c>
      <c r="L275" s="441">
        <f>Données!Z275</f>
        <v>0.124</v>
      </c>
      <c r="M275" s="265">
        <f t="shared" si="54"/>
        <v>72.719683481701281</v>
      </c>
      <c r="N275" s="287">
        <f t="shared" si="55"/>
        <v>0</v>
      </c>
      <c r="O275" s="265"/>
      <c r="P275" s="249">
        <f>Données!AA275</f>
        <v>2017</v>
      </c>
      <c r="Q275" s="284">
        <f>Données!AB275</f>
        <v>33</v>
      </c>
      <c r="R275" s="236">
        <f t="shared" si="56"/>
        <v>2021.95</v>
      </c>
      <c r="S275" s="288">
        <f t="shared" si="57"/>
        <v>0.10020070370186829</v>
      </c>
      <c r="T275" s="273">
        <f t="shared" si="58"/>
        <v>2748.3055214723913</v>
      </c>
      <c r="U275" s="273">
        <f t="shared" si="61"/>
        <v>0</v>
      </c>
      <c r="V275" s="287">
        <f t="shared" si="62"/>
        <v>0</v>
      </c>
      <c r="W275" s="340"/>
      <c r="X275" s="236">
        <f t="shared" si="63"/>
        <v>0</v>
      </c>
      <c r="Y275" s="253">
        <f t="shared" si="64"/>
        <v>0</v>
      </c>
    </row>
    <row r="276" spans="1:25" x14ac:dyDescent="0.25">
      <c r="A276" s="111">
        <f>Données!A276</f>
        <v>5891</v>
      </c>
      <c r="B276" s="119" t="str">
        <f>Données!B276</f>
        <v>Veytaux</v>
      </c>
      <c r="C276" s="252">
        <f>Données!C276</f>
        <v>1008</v>
      </c>
      <c r="D276" s="265"/>
      <c r="E276" s="249">
        <f>Données!X276</f>
        <v>642</v>
      </c>
      <c r="F276" s="286">
        <f t="shared" si="52"/>
        <v>0.63690476190476186</v>
      </c>
      <c r="G276" s="265">
        <f t="shared" si="53"/>
        <v>770.69482758620688</v>
      </c>
      <c r="H276" s="273">
        <f t="shared" si="59"/>
        <v>0</v>
      </c>
      <c r="I276" s="287">
        <f t="shared" si="60"/>
        <v>0</v>
      </c>
      <c r="J276" s="265"/>
      <c r="K276" s="274">
        <f>Données!Y276</f>
        <v>16</v>
      </c>
      <c r="L276" s="441">
        <f>Données!Z276</f>
        <v>0.88100000000000001</v>
      </c>
      <c r="M276" s="265">
        <f t="shared" si="54"/>
        <v>516.66162215628094</v>
      </c>
      <c r="N276" s="287">
        <f t="shared" si="55"/>
        <v>-8267</v>
      </c>
      <c r="O276" s="265"/>
      <c r="P276" s="249">
        <f>Données!AA276</f>
        <v>77</v>
      </c>
      <c r="Q276" s="284">
        <f>Données!AB276</f>
        <v>14</v>
      </c>
      <c r="R276" s="236">
        <f t="shared" si="56"/>
        <v>79.099999999999994</v>
      </c>
      <c r="S276" s="288">
        <f t="shared" si="57"/>
        <v>7.8472222222222221E-2</v>
      </c>
      <c r="T276" s="273">
        <f t="shared" si="58"/>
        <v>137.28588957055209</v>
      </c>
      <c r="U276" s="273">
        <f t="shared" si="61"/>
        <v>0</v>
      </c>
      <c r="V276" s="287">
        <f t="shared" si="62"/>
        <v>0</v>
      </c>
      <c r="W276" s="340"/>
      <c r="X276" s="236">
        <f t="shared" si="63"/>
        <v>0</v>
      </c>
      <c r="Y276" s="253">
        <f t="shared" si="64"/>
        <v>0</v>
      </c>
    </row>
    <row r="277" spans="1:25" x14ac:dyDescent="0.25">
      <c r="A277" s="111">
        <f>Données!A277</f>
        <v>5892</v>
      </c>
      <c r="B277" s="119" t="str">
        <f>Données!B277</f>
        <v>Blonay-Saint-Légier</v>
      </c>
      <c r="C277" s="252">
        <f>Données!C277</f>
        <v>12597</v>
      </c>
      <c r="D277" s="265"/>
      <c r="E277" s="249">
        <f>Données!X277</f>
        <v>3067</v>
      </c>
      <c r="F277" s="286">
        <f t="shared" si="52"/>
        <v>0.24347066761927444</v>
      </c>
      <c r="G277" s="265">
        <f t="shared" si="53"/>
        <v>9631.3916102216754</v>
      </c>
      <c r="H277" s="273">
        <f t="shared" si="59"/>
        <v>0</v>
      </c>
      <c r="I277" s="287">
        <f t="shared" si="60"/>
        <v>0</v>
      </c>
      <c r="J277" s="265"/>
      <c r="K277" s="274">
        <f>Données!Y277</f>
        <v>833</v>
      </c>
      <c r="L277" s="441">
        <f>Données!Z277</f>
        <v>0.434</v>
      </c>
      <c r="M277" s="265">
        <f t="shared" si="54"/>
        <v>254.51889218595451</v>
      </c>
      <c r="N277" s="287">
        <f t="shared" si="55"/>
        <v>-212014</v>
      </c>
      <c r="O277" s="265"/>
      <c r="P277" s="249">
        <f>Données!AA277</f>
        <v>1338</v>
      </c>
      <c r="Q277" s="284">
        <f>Données!AB277</f>
        <v>107</v>
      </c>
      <c r="R277" s="236">
        <f t="shared" si="56"/>
        <v>1354.05</v>
      </c>
      <c r="S277" s="288">
        <f t="shared" si="57"/>
        <v>0.10748987854251012</v>
      </c>
      <c r="T277" s="273">
        <f t="shared" si="58"/>
        <v>1715.6650306748459</v>
      </c>
      <c r="U277" s="273">
        <f t="shared" si="61"/>
        <v>0</v>
      </c>
      <c r="V277" s="287">
        <f t="shared" si="62"/>
        <v>0</v>
      </c>
      <c r="W277" s="340"/>
      <c r="X277" s="236">
        <f t="shared" si="63"/>
        <v>0</v>
      </c>
      <c r="Y277" s="253">
        <f t="shared" si="64"/>
        <v>0</v>
      </c>
    </row>
    <row r="278" spans="1:25" x14ac:dyDescent="0.25">
      <c r="A278" s="111">
        <f>Données!A278</f>
        <v>5902</v>
      </c>
      <c r="B278" s="119" t="str">
        <f>Données!B278</f>
        <v>Belmont-sur-Yverdon</v>
      </c>
      <c r="C278" s="252">
        <f>Données!C278</f>
        <v>457</v>
      </c>
      <c r="D278" s="265"/>
      <c r="E278" s="249">
        <f>Données!X278</f>
        <v>646</v>
      </c>
      <c r="F278" s="286">
        <f t="shared" si="52"/>
        <v>1.4135667396061269</v>
      </c>
      <c r="G278" s="265">
        <f t="shared" si="53"/>
        <v>349.41223830049262</v>
      </c>
      <c r="H278" s="273">
        <f t="shared" si="59"/>
        <v>296.58776169950738</v>
      </c>
      <c r="I278" s="287">
        <f t="shared" si="60"/>
        <v>-31624</v>
      </c>
      <c r="J278" s="265"/>
      <c r="K278" s="274">
        <f>Données!Y278</f>
        <v>0</v>
      </c>
      <c r="L278" s="441">
        <f>Données!Z278</f>
        <v>7.5999999999999998E-2</v>
      </c>
      <c r="M278" s="265">
        <f t="shared" si="54"/>
        <v>44.570128585558855</v>
      </c>
      <c r="N278" s="287">
        <f t="shared" si="55"/>
        <v>0</v>
      </c>
      <c r="O278" s="265"/>
      <c r="P278" s="249">
        <f>Données!AA278</f>
        <v>60</v>
      </c>
      <c r="Q278" s="284">
        <f>Données!AB278</f>
        <v>58</v>
      </c>
      <c r="R278" s="236">
        <f t="shared" si="56"/>
        <v>68.7</v>
      </c>
      <c r="S278" s="288">
        <f t="shared" si="57"/>
        <v>0.15032822757111597</v>
      </c>
      <c r="T278" s="273">
        <f t="shared" si="58"/>
        <v>62.241717791411013</v>
      </c>
      <c r="U278" s="273">
        <f t="shared" si="61"/>
        <v>6.4582822085889902</v>
      </c>
      <c r="V278" s="287">
        <f t="shared" si="62"/>
        <v>-27545</v>
      </c>
      <c r="W278" s="340"/>
      <c r="X278" s="236">
        <f t="shared" si="63"/>
        <v>-27545</v>
      </c>
      <c r="Y278" s="253">
        <f t="shared" si="64"/>
        <v>0</v>
      </c>
    </row>
    <row r="279" spans="1:25" x14ac:dyDescent="0.25">
      <c r="A279" s="111">
        <f>Données!A279</f>
        <v>5903</v>
      </c>
      <c r="B279" s="119" t="str">
        <f>Données!B279</f>
        <v>Bioley-Magnoux</v>
      </c>
      <c r="C279" s="252">
        <f>Données!C279</f>
        <v>252</v>
      </c>
      <c r="D279" s="265"/>
      <c r="E279" s="249">
        <f>Données!X279</f>
        <v>426</v>
      </c>
      <c r="F279" s="286">
        <f t="shared" si="52"/>
        <v>1.6904761904761905</v>
      </c>
      <c r="G279" s="265">
        <f t="shared" si="53"/>
        <v>192.67370689655172</v>
      </c>
      <c r="H279" s="273">
        <f t="shared" si="59"/>
        <v>233.32629310344828</v>
      </c>
      <c r="I279" s="287">
        <f t="shared" si="60"/>
        <v>-24879</v>
      </c>
      <c r="J279" s="265"/>
      <c r="K279" s="274">
        <f>Données!Y279</f>
        <v>0</v>
      </c>
      <c r="L279" s="441">
        <f>Données!Z279</f>
        <v>0.14199999999999999</v>
      </c>
      <c r="M279" s="265">
        <f t="shared" si="54"/>
        <v>83.275766567754687</v>
      </c>
      <c r="N279" s="287">
        <f t="shared" si="55"/>
        <v>0</v>
      </c>
      <c r="O279" s="265"/>
      <c r="P279" s="249">
        <f>Données!AA279</f>
        <v>41</v>
      </c>
      <c r="Q279" s="284">
        <f>Données!AB279</f>
        <v>41</v>
      </c>
      <c r="R279" s="236">
        <f t="shared" si="56"/>
        <v>47.15</v>
      </c>
      <c r="S279" s="288">
        <f t="shared" si="57"/>
        <v>0.1871031746031746</v>
      </c>
      <c r="T279" s="273">
        <f t="shared" si="58"/>
        <v>34.321472392638022</v>
      </c>
      <c r="U279" s="273">
        <f t="shared" si="61"/>
        <v>12.828527607361977</v>
      </c>
      <c r="V279" s="287">
        <f t="shared" si="62"/>
        <v>-54715</v>
      </c>
      <c r="W279" s="340"/>
      <c r="X279" s="236">
        <f t="shared" si="63"/>
        <v>-26230.267062314535</v>
      </c>
      <c r="Y279" s="253">
        <f t="shared" si="64"/>
        <v>-28484.732937685465</v>
      </c>
    </row>
    <row r="280" spans="1:25" x14ac:dyDescent="0.25">
      <c r="A280" s="111">
        <f>Données!A280</f>
        <v>5904</v>
      </c>
      <c r="B280" s="119" t="str">
        <f>Données!B280</f>
        <v>Chamblon</v>
      </c>
      <c r="C280" s="252">
        <f>Données!C280</f>
        <v>558</v>
      </c>
      <c r="D280" s="265"/>
      <c r="E280" s="249">
        <f>Données!X280</f>
        <v>283</v>
      </c>
      <c r="F280" s="286">
        <f t="shared" si="52"/>
        <v>0.50716845878136196</v>
      </c>
      <c r="G280" s="265">
        <f t="shared" si="53"/>
        <v>426.63463669950738</v>
      </c>
      <c r="H280" s="273">
        <f t="shared" si="59"/>
        <v>0</v>
      </c>
      <c r="I280" s="287">
        <f t="shared" si="60"/>
        <v>0</v>
      </c>
      <c r="J280" s="265"/>
      <c r="K280" s="274">
        <f>Données!Y280</f>
        <v>0</v>
      </c>
      <c r="L280" s="441">
        <f>Données!Z280</f>
        <v>0.10199999999999999</v>
      </c>
      <c r="M280" s="265">
        <f t="shared" si="54"/>
        <v>59.817804154302671</v>
      </c>
      <c r="N280" s="287">
        <f t="shared" si="55"/>
        <v>0</v>
      </c>
      <c r="O280" s="265"/>
      <c r="P280" s="249">
        <f>Données!AA280</f>
        <v>64</v>
      </c>
      <c r="Q280" s="284">
        <f>Données!AB280</f>
        <v>25</v>
      </c>
      <c r="R280" s="236">
        <f t="shared" si="56"/>
        <v>67.75</v>
      </c>
      <c r="S280" s="288">
        <f t="shared" si="57"/>
        <v>0.12141577060931899</v>
      </c>
      <c r="T280" s="273">
        <f t="shared" si="58"/>
        <v>75.997546012269908</v>
      </c>
      <c r="U280" s="273">
        <f t="shared" si="61"/>
        <v>0</v>
      </c>
      <c r="V280" s="287">
        <f t="shared" si="62"/>
        <v>0</v>
      </c>
      <c r="W280" s="340"/>
      <c r="X280" s="236">
        <f t="shared" si="63"/>
        <v>0</v>
      </c>
      <c r="Y280" s="253">
        <f t="shared" si="64"/>
        <v>0</v>
      </c>
    </row>
    <row r="281" spans="1:25" x14ac:dyDescent="0.25">
      <c r="A281" s="111">
        <f>Données!A281</f>
        <v>5905</v>
      </c>
      <c r="B281" s="119" t="str">
        <f>Données!B281</f>
        <v>Champvent</v>
      </c>
      <c r="C281" s="252">
        <f>Données!C281</f>
        <v>692</v>
      </c>
      <c r="D281" s="265"/>
      <c r="E281" s="249">
        <f>Données!X281</f>
        <v>897</v>
      </c>
      <c r="F281" s="286">
        <f t="shared" si="52"/>
        <v>1.296242774566474</v>
      </c>
      <c r="G281" s="265">
        <f t="shared" si="53"/>
        <v>529.08811576354685</v>
      </c>
      <c r="H281" s="273">
        <f t="shared" si="59"/>
        <v>367.91188423645315</v>
      </c>
      <c r="I281" s="287">
        <f t="shared" si="60"/>
        <v>-39229</v>
      </c>
      <c r="J281" s="265"/>
      <c r="K281" s="274">
        <f>Données!Y281</f>
        <v>0</v>
      </c>
      <c r="L281" s="441">
        <f>Données!Z281</f>
        <v>4.5999999999999999E-2</v>
      </c>
      <c r="M281" s="265">
        <f t="shared" si="54"/>
        <v>26.976656775469831</v>
      </c>
      <c r="N281" s="287">
        <f t="shared" si="55"/>
        <v>0</v>
      </c>
      <c r="O281" s="265"/>
      <c r="P281" s="249">
        <f>Données!AA281</f>
        <v>89</v>
      </c>
      <c r="Q281" s="284">
        <f>Données!AB281</f>
        <v>76</v>
      </c>
      <c r="R281" s="236">
        <f t="shared" si="56"/>
        <v>100.4</v>
      </c>
      <c r="S281" s="288">
        <f t="shared" si="57"/>
        <v>0.14508670520231215</v>
      </c>
      <c r="T281" s="273">
        <f t="shared" si="58"/>
        <v>94.247852760736151</v>
      </c>
      <c r="U281" s="273">
        <f t="shared" si="61"/>
        <v>6.1521472392638543</v>
      </c>
      <c r="V281" s="287">
        <f t="shared" si="62"/>
        <v>-26239</v>
      </c>
      <c r="W281" s="340"/>
      <c r="X281" s="236">
        <f t="shared" si="63"/>
        <v>-26239</v>
      </c>
      <c r="Y281" s="253">
        <f t="shared" si="64"/>
        <v>0</v>
      </c>
    </row>
    <row r="282" spans="1:25" x14ac:dyDescent="0.25">
      <c r="A282" s="111">
        <f>Données!A282</f>
        <v>5907</v>
      </c>
      <c r="B282" s="119" t="str">
        <f>Données!B282</f>
        <v>Chavannes-le-Chêne</v>
      </c>
      <c r="C282" s="252">
        <f>Données!C282</f>
        <v>329</v>
      </c>
      <c r="D282" s="265"/>
      <c r="E282" s="249">
        <f>Données!X282</f>
        <v>397</v>
      </c>
      <c r="F282" s="286">
        <f t="shared" si="52"/>
        <v>1.2066869300911853</v>
      </c>
      <c r="G282" s="265">
        <f t="shared" si="53"/>
        <v>251.54622844827585</v>
      </c>
      <c r="H282" s="273">
        <f t="shared" si="59"/>
        <v>145.45377155172415</v>
      </c>
      <c r="I282" s="287">
        <f t="shared" si="60"/>
        <v>-15509</v>
      </c>
      <c r="J282" s="265"/>
      <c r="K282" s="274">
        <f>Données!Y282</f>
        <v>0</v>
      </c>
      <c r="L282" s="441">
        <f>Données!Z282</f>
        <v>3.9E-2</v>
      </c>
      <c r="M282" s="265">
        <f t="shared" si="54"/>
        <v>22.871513353115727</v>
      </c>
      <c r="N282" s="287">
        <f t="shared" si="55"/>
        <v>0</v>
      </c>
      <c r="O282" s="265"/>
      <c r="P282" s="249">
        <f>Données!AA282</f>
        <v>38</v>
      </c>
      <c r="Q282" s="284">
        <f>Données!AB282</f>
        <v>38</v>
      </c>
      <c r="R282" s="236">
        <f t="shared" si="56"/>
        <v>43.7</v>
      </c>
      <c r="S282" s="288">
        <f t="shared" si="57"/>
        <v>0.13282674772036476</v>
      </c>
      <c r="T282" s="273">
        <f t="shared" si="58"/>
        <v>44.808588957055193</v>
      </c>
      <c r="U282" s="273">
        <f t="shared" si="61"/>
        <v>0</v>
      </c>
      <c r="V282" s="287">
        <f t="shared" si="62"/>
        <v>0</v>
      </c>
      <c r="W282" s="340"/>
      <c r="X282" s="236">
        <f t="shared" si="63"/>
        <v>0</v>
      </c>
      <c r="Y282" s="253">
        <f t="shared" si="64"/>
        <v>0</v>
      </c>
    </row>
    <row r="283" spans="1:25" x14ac:dyDescent="0.25">
      <c r="A283" s="111">
        <f>Données!A283</f>
        <v>5908</v>
      </c>
      <c r="B283" s="119" t="str">
        <f>Données!B283</f>
        <v>Chêne-Pâquier</v>
      </c>
      <c r="C283" s="252">
        <f>Données!C283</f>
        <v>172</v>
      </c>
      <c r="D283" s="265"/>
      <c r="E283" s="249">
        <f>Données!X283</f>
        <v>206</v>
      </c>
      <c r="F283" s="286">
        <f t="shared" si="52"/>
        <v>1.1976744186046511</v>
      </c>
      <c r="G283" s="265">
        <f t="shared" si="53"/>
        <v>131.50745073891625</v>
      </c>
      <c r="H283" s="273">
        <f t="shared" si="59"/>
        <v>74.492549261083752</v>
      </c>
      <c r="I283" s="287">
        <f t="shared" si="60"/>
        <v>-7943</v>
      </c>
      <c r="J283" s="265"/>
      <c r="K283" s="274">
        <f>Données!Y283</f>
        <v>0</v>
      </c>
      <c r="L283" s="441">
        <f>Données!Z283</f>
        <v>9.5000000000000001E-2</v>
      </c>
      <c r="M283" s="265">
        <f t="shared" si="54"/>
        <v>55.712660731948567</v>
      </c>
      <c r="N283" s="287">
        <f t="shared" si="55"/>
        <v>0</v>
      </c>
      <c r="O283" s="265"/>
      <c r="P283" s="249">
        <f>Données!AA283</f>
        <v>30</v>
      </c>
      <c r="Q283" s="284">
        <f>Données!AB283</f>
        <v>30</v>
      </c>
      <c r="R283" s="236">
        <f t="shared" si="56"/>
        <v>34.5</v>
      </c>
      <c r="S283" s="288">
        <f t="shared" si="57"/>
        <v>0.2005813953488372</v>
      </c>
      <c r="T283" s="273">
        <f t="shared" si="58"/>
        <v>23.425766871165631</v>
      </c>
      <c r="U283" s="273">
        <f t="shared" si="61"/>
        <v>11.074233128834369</v>
      </c>
      <c r="V283" s="287">
        <f t="shared" si="62"/>
        <v>-47233</v>
      </c>
      <c r="W283" s="340"/>
      <c r="X283" s="236">
        <f t="shared" si="63"/>
        <v>-19192.87833827893</v>
      </c>
      <c r="Y283" s="253">
        <f t="shared" si="64"/>
        <v>-28040.12166172107</v>
      </c>
    </row>
    <row r="284" spans="1:25" x14ac:dyDescent="0.25">
      <c r="A284" s="111">
        <f>Données!A284</f>
        <v>5909</v>
      </c>
      <c r="B284" s="119" t="str">
        <f>Données!B284</f>
        <v>Cheseaux-Noréaz</v>
      </c>
      <c r="C284" s="252">
        <f>Données!C284</f>
        <v>745</v>
      </c>
      <c r="D284" s="265"/>
      <c r="E284" s="249">
        <f>Données!X284</f>
        <v>541</v>
      </c>
      <c r="F284" s="286">
        <f t="shared" si="52"/>
        <v>0.72617449664429534</v>
      </c>
      <c r="G284" s="265">
        <f t="shared" si="53"/>
        <v>569.6107604679803</v>
      </c>
      <c r="H284" s="273">
        <f t="shared" si="59"/>
        <v>0</v>
      </c>
      <c r="I284" s="287">
        <f t="shared" si="60"/>
        <v>0</v>
      </c>
      <c r="J284" s="265"/>
      <c r="K284" s="274">
        <f>Données!Y284</f>
        <v>0</v>
      </c>
      <c r="L284" s="441">
        <f>Données!Z284</f>
        <v>7.8E-2</v>
      </c>
      <c r="M284" s="265">
        <f t="shared" si="54"/>
        <v>45.743026706231454</v>
      </c>
      <c r="N284" s="287">
        <f t="shared" si="55"/>
        <v>0</v>
      </c>
      <c r="O284" s="265"/>
      <c r="P284" s="249">
        <f>Données!AA284</f>
        <v>88</v>
      </c>
      <c r="Q284" s="284">
        <f>Données!AB284</f>
        <v>39</v>
      </c>
      <c r="R284" s="236">
        <f t="shared" si="56"/>
        <v>93.85</v>
      </c>
      <c r="S284" s="288">
        <f t="shared" si="57"/>
        <v>0.1259731543624161</v>
      </c>
      <c r="T284" s="273">
        <f t="shared" si="58"/>
        <v>101.46625766871161</v>
      </c>
      <c r="U284" s="273">
        <f t="shared" si="61"/>
        <v>0</v>
      </c>
      <c r="V284" s="287">
        <f t="shared" si="62"/>
        <v>0</v>
      </c>
      <c r="W284" s="340"/>
      <c r="X284" s="236">
        <f t="shared" si="63"/>
        <v>0</v>
      </c>
      <c r="Y284" s="253">
        <f t="shared" si="64"/>
        <v>0</v>
      </c>
    </row>
    <row r="285" spans="1:25" x14ac:dyDescent="0.25">
      <c r="A285" s="111">
        <f>Données!A285</f>
        <v>5910</v>
      </c>
      <c r="B285" s="119" t="str">
        <f>Données!B285</f>
        <v>Cronay</v>
      </c>
      <c r="C285" s="252">
        <f>Données!C285</f>
        <v>432</v>
      </c>
      <c r="D285" s="265"/>
      <c r="E285" s="249">
        <f>Données!X285</f>
        <v>655</v>
      </c>
      <c r="F285" s="286">
        <f t="shared" si="52"/>
        <v>1.5162037037037037</v>
      </c>
      <c r="G285" s="265">
        <f t="shared" si="53"/>
        <v>330.29778325123152</v>
      </c>
      <c r="H285" s="273">
        <f t="shared" si="59"/>
        <v>324.70221674876848</v>
      </c>
      <c r="I285" s="287">
        <f t="shared" si="60"/>
        <v>-34622</v>
      </c>
      <c r="J285" s="265"/>
      <c r="K285" s="274">
        <f>Données!Y285</f>
        <v>0</v>
      </c>
      <c r="L285" s="441">
        <f>Données!Z285</f>
        <v>0.16300000000000001</v>
      </c>
      <c r="M285" s="265">
        <f t="shared" si="54"/>
        <v>95.591196834817012</v>
      </c>
      <c r="N285" s="287">
        <f t="shared" si="55"/>
        <v>0</v>
      </c>
      <c r="O285" s="265"/>
      <c r="P285" s="249">
        <f>Données!AA285</f>
        <v>65</v>
      </c>
      <c r="Q285" s="284">
        <f>Données!AB285</f>
        <v>38</v>
      </c>
      <c r="R285" s="236">
        <f t="shared" si="56"/>
        <v>70.7</v>
      </c>
      <c r="S285" s="288">
        <f t="shared" si="57"/>
        <v>0.16365740740740742</v>
      </c>
      <c r="T285" s="273">
        <f t="shared" si="58"/>
        <v>58.836809815950893</v>
      </c>
      <c r="U285" s="273">
        <f t="shared" si="61"/>
        <v>11.86319018404911</v>
      </c>
      <c r="V285" s="287">
        <f t="shared" si="62"/>
        <v>-50598</v>
      </c>
      <c r="W285" s="340"/>
      <c r="X285" s="236">
        <f t="shared" si="63"/>
        <v>-24310.979228486645</v>
      </c>
      <c r="Y285" s="253">
        <f t="shared" si="64"/>
        <v>-26287.020771513355</v>
      </c>
    </row>
    <row r="286" spans="1:25" x14ac:dyDescent="0.25">
      <c r="A286" s="111">
        <f>Données!A286</f>
        <v>5911</v>
      </c>
      <c r="B286" s="119" t="str">
        <f>Données!B286</f>
        <v>Cuarny</v>
      </c>
      <c r="C286" s="252">
        <f>Données!C286</f>
        <v>244</v>
      </c>
      <c r="D286" s="265"/>
      <c r="E286" s="249">
        <f>Données!X286</f>
        <v>460</v>
      </c>
      <c r="F286" s="286">
        <f t="shared" si="52"/>
        <v>1.8852459016393444</v>
      </c>
      <c r="G286" s="265">
        <f t="shared" si="53"/>
        <v>186.55708128078817</v>
      </c>
      <c r="H286" s="273">
        <f t="shared" si="59"/>
        <v>273.44291871921183</v>
      </c>
      <c r="I286" s="287">
        <f t="shared" si="60"/>
        <v>-29156</v>
      </c>
      <c r="J286" s="265"/>
      <c r="K286" s="274">
        <f>Données!Y286</f>
        <v>0</v>
      </c>
      <c r="L286" s="441">
        <f>Données!Z286</f>
        <v>0.13100000000000001</v>
      </c>
      <c r="M286" s="265">
        <f t="shared" si="54"/>
        <v>76.824826904055399</v>
      </c>
      <c r="N286" s="287">
        <f t="shared" si="55"/>
        <v>0</v>
      </c>
      <c r="O286" s="265"/>
      <c r="P286" s="249">
        <f>Données!AA286</f>
        <v>32</v>
      </c>
      <c r="Q286" s="284">
        <f>Données!AB286</f>
        <v>27</v>
      </c>
      <c r="R286" s="236">
        <f t="shared" si="56"/>
        <v>36.049999999999997</v>
      </c>
      <c r="S286" s="288">
        <f t="shared" si="57"/>
        <v>0.14774590163934426</v>
      </c>
      <c r="T286" s="273">
        <f t="shared" si="58"/>
        <v>33.231901840490785</v>
      </c>
      <c r="U286" s="273">
        <f t="shared" si="61"/>
        <v>2.8180981595092121</v>
      </c>
      <c r="V286" s="287">
        <f t="shared" si="62"/>
        <v>-12019</v>
      </c>
      <c r="W286" s="340"/>
      <c r="X286" s="236">
        <f t="shared" si="63"/>
        <v>-12019</v>
      </c>
      <c r="Y286" s="253">
        <f t="shared" si="64"/>
        <v>0</v>
      </c>
    </row>
    <row r="287" spans="1:25" x14ac:dyDescent="0.25">
      <c r="A287" s="111">
        <f>Données!A287</f>
        <v>5912</v>
      </c>
      <c r="B287" s="119" t="str">
        <f>Données!B287</f>
        <v>Démoret</v>
      </c>
      <c r="C287" s="252">
        <f>Données!C287</f>
        <v>181</v>
      </c>
      <c r="D287" s="265"/>
      <c r="E287" s="249">
        <f>Données!X287</f>
        <v>429</v>
      </c>
      <c r="F287" s="286">
        <f t="shared" si="52"/>
        <v>2.3701657458563536</v>
      </c>
      <c r="G287" s="265">
        <f t="shared" si="53"/>
        <v>138.38865455665024</v>
      </c>
      <c r="H287" s="273">
        <f t="shared" si="59"/>
        <v>290.61134544334976</v>
      </c>
      <c r="I287" s="287">
        <f t="shared" si="60"/>
        <v>-30987</v>
      </c>
      <c r="J287" s="265"/>
      <c r="K287" s="274">
        <f>Données!Y287</f>
        <v>133</v>
      </c>
      <c r="L287" s="441">
        <f>Données!Z287</f>
        <v>1.7999999999999999E-2</v>
      </c>
      <c r="M287" s="265">
        <f t="shared" si="54"/>
        <v>10.556083086053413</v>
      </c>
      <c r="N287" s="287">
        <f t="shared" si="55"/>
        <v>-1404</v>
      </c>
      <c r="O287" s="265"/>
      <c r="P287" s="249">
        <f>Données!AA287</f>
        <v>35</v>
      </c>
      <c r="Q287" s="284">
        <f>Données!AB287</f>
        <v>35</v>
      </c>
      <c r="R287" s="236">
        <f t="shared" si="56"/>
        <v>40.25</v>
      </c>
      <c r="S287" s="288">
        <f t="shared" si="57"/>
        <v>0.22237569060773479</v>
      </c>
      <c r="T287" s="273">
        <f t="shared" si="58"/>
        <v>24.651533742331278</v>
      </c>
      <c r="U287" s="273">
        <f t="shared" si="61"/>
        <v>15.598466257668722</v>
      </c>
      <c r="V287" s="287">
        <f t="shared" si="62"/>
        <v>-66529</v>
      </c>
      <c r="W287" s="340"/>
      <c r="X287" s="236">
        <f t="shared" si="63"/>
        <v>-22391.691394658752</v>
      </c>
      <c r="Y287" s="253">
        <f t="shared" si="64"/>
        <v>-44137.308605341248</v>
      </c>
    </row>
    <row r="288" spans="1:25" x14ac:dyDescent="0.25">
      <c r="A288" s="111">
        <f>Données!A288</f>
        <v>5913</v>
      </c>
      <c r="B288" s="119" t="str">
        <f>Données!B288</f>
        <v>Donneloye</v>
      </c>
      <c r="C288" s="252">
        <f>Données!C288</f>
        <v>905</v>
      </c>
      <c r="D288" s="265"/>
      <c r="E288" s="249">
        <f>Données!X288</f>
        <v>893</v>
      </c>
      <c r="F288" s="286">
        <f t="shared" si="52"/>
        <v>0.9867403314917127</v>
      </c>
      <c r="G288" s="265">
        <f t="shared" si="53"/>
        <v>691.94327278325125</v>
      </c>
      <c r="H288" s="273">
        <f t="shared" si="59"/>
        <v>201.05672721674875</v>
      </c>
      <c r="I288" s="287">
        <f t="shared" si="60"/>
        <v>-21438</v>
      </c>
      <c r="J288" s="265"/>
      <c r="K288" s="274">
        <f>Données!Y288</f>
        <v>0</v>
      </c>
      <c r="L288" s="441">
        <f>Données!Z288</f>
        <v>0.11899999999999999</v>
      </c>
      <c r="M288" s="265">
        <f t="shared" si="54"/>
        <v>69.787438180019777</v>
      </c>
      <c r="N288" s="287">
        <f t="shared" si="55"/>
        <v>0</v>
      </c>
      <c r="O288" s="265"/>
      <c r="P288" s="249">
        <f>Données!AA288</f>
        <v>126</v>
      </c>
      <c r="Q288" s="284">
        <f>Données!AB288</f>
        <v>126</v>
      </c>
      <c r="R288" s="236">
        <f t="shared" si="56"/>
        <v>144.9</v>
      </c>
      <c r="S288" s="288">
        <f t="shared" si="57"/>
        <v>0.16011049723756907</v>
      </c>
      <c r="T288" s="273">
        <f t="shared" si="58"/>
        <v>123.25766871165638</v>
      </c>
      <c r="U288" s="273">
        <f t="shared" si="61"/>
        <v>21.642331288343627</v>
      </c>
      <c r="V288" s="287">
        <f t="shared" si="62"/>
        <v>-92306</v>
      </c>
      <c r="W288" s="340"/>
      <c r="X288" s="236">
        <f t="shared" si="63"/>
        <v>-80610.089020771498</v>
      </c>
      <c r="Y288" s="253">
        <f t="shared" si="64"/>
        <v>-11695.910979228502</v>
      </c>
    </row>
    <row r="289" spans="1:25" x14ac:dyDescent="0.25">
      <c r="A289" s="111">
        <f>Données!A289</f>
        <v>5914</v>
      </c>
      <c r="B289" s="119" t="str">
        <f>Données!B289</f>
        <v>Ependes</v>
      </c>
      <c r="C289" s="252">
        <f>Données!C289</f>
        <v>376</v>
      </c>
      <c r="D289" s="265"/>
      <c r="E289" s="249">
        <f>Données!X289</f>
        <v>469</v>
      </c>
      <c r="F289" s="286">
        <f t="shared" si="52"/>
        <v>1.2473404255319149</v>
      </c>
      <c r="G289" s="265">
        <f t="shared" si="53"/>
        <v>287.48140394088671</v>
      </c>
      <c r="H289" s="273">
        <f t="shared" si="59"/>
        <v>181.51859605911329</v>
      </c>
      <c r="I289" s="287">
        <f t="shared" si="60"/>
        <v>-19355</v>
      </c>
      <c r="J289" s="265"/>
      <c r="K289" s="274">
        <f>Données!Y289</f>
        <v>0</v>
      </c>
      <c r="L289" s="441">
        <f>Données!Z289</f>
        <v>0.08</v>
      </c>
      <c r="M289" s="265">
        <f t="shared" si="54"/>
        <v>46.91592482690406</v>
      </c>
      <c r="N289" s="287">
        <f t="shared" si="55"/>
        <v>0</v>
      </c>
      <c r="O289" s="265"/>
      <c r="P289" s="249">
        <f>Données!AA289</f>
        <v>53</v>
      </c>
      <c r="Q289" s="284">
        <f>Données!AB289</f>
        <v>26</v>
      </c>
      <c r="R289" s="236">
        <f t="shared" si="56"/>
        <v>56.9</v>
      </c>
      <c r="S289" s="288">
        <f t="shared" si="57"/>
        <v>0.15132978723404256</v>
      </c>
      <c r="T289" s="273">
        <f t="shared" si="58"/>
        <v>51.209815950920223</v>
      </c>
      <c r="U289" s="273">
        <f t="shared" si="61"/>
        <v>5.6901840490797753</v>
      </c>
      <c r="V289" s="287">
        <f t="shared" si="62"/>
        <v>-24269</v>
      </c>
      <c r="W289" s="340"/>
      <c r="X289" s="236">
        <f t="shared" si="63"/>
        <v>-16633.827893175072</v>
      </c>
      <c r="Y289" s="253">
        <f t="shared" si="64"/>
        <v>-7635.1721068249281</v>
      </c>
    </row>
    <row r="290" spans="1:25" x14ac:dyDescent="0.25">
      <c r="A290" s="111">
        <f>Données!A290</f>
        <v>5919</v>
      </c>
      <c r="B290" s="119" t="str">
        <f>Données!B290</f>
        <v>Mathod</v>
      </c>
      <c r="C290" s="252">
        <f>Données!C290</f>
        <v>740</v>
      </c>
      <c r="D290" s="265"/>
      <c r="E290" s="249">
        <f>Données!X290</f>
        <v>648</v>
      </c>
      <c r="F290" s="286">
        <f t="shared" si="52"/>
        <v>0.87567567567567572</v>
      </c>
      <c r="G290" s="265">
        <f t="shared" si="53"/>
        <v>565.78786945812806</v>
      </c>
      <c r="H290" s="273">
        <f t="shared" si="59"/>
        <v>82.212130541871943</v>
      </c>
      <c r="I290" s="287">
        <f t="shared" si="60"/>
        <v>-8766</v>
      </c>
      <c r="J290" s="265"/>
      <c r="K290" s="274">
        <f>Données!Y290</f>
        <v>0</v>
      </c>
      <c r="L290" s="441">
        <f>Données!Z290</f>
        <v>2.5000000000000001E-2</v>
      </c>
      <c r="M290" s="265">
        <f t="shared" si="54"/>
        <v>14.661226508407518</v>
      </c>
      <c r="N290" s="287">
        <f t="shared" si="55"/>
        <v>0</v>
      </c>
      <c r="O290" s="265"/>
      <c r="P290" s="249">
        <f>Données!AA290</f>
        <v>70</v>
      </c>
      <c r="Q290" s="284">
        <f>Données!AB290</f>
        <v>70</v>
      </c>
      <c r="R290" s="236">
        <f t="shared" si="56"/>
        <v>80.5</v>
      </c>
      <c r="S290" s="288">
        <f t="shared" si="57"/>
        <v>0.10878378378378378</v>
      </c>
      <c r="T290" s="273">
        <f t="shared" si="58"/>
        <v>100.78527607361958</v>
      </c>
      <c r="U290" s="273">
        <f t="shared" si="61"/>
        <v>0</v>
      </c>
      <c r="V290" s="287">
        <f t="shared" si="62"/>
        <v>0</v>
      </c>
      <c r="W290" s="340"/>
      <c r="X290" s="236">
        <f t="shared" si="63"/>
        <v>0</v>
      </c>
      <c r="Y290" s="253">
        <f t="shared" si="64"/>
        <v>0</v>
      </c>
    </row>
    <row r="291" spans="1:25" x14ac:dyDescent="0.25">
      <c r="A291" s="111">
        <f>Données!A291</f>
        <v>5921</v>
      </c>
      <c r="B291" s="119" t="str">
        <f>Données!B291</f>
        <v>Molondin</v>
      </c>
      <c r="C291" s="252">
        <f>Données!C291</f>
        <v>260</v>
      </c>
      <c r="D291" s="265"/>
      <c r="E291" s="249">
        <f>Données!X291</f>
        <v>552</v>
      </c>
      <c r="F291" s="286">
        <f t="shared" si="52"/>
        <v>2.1230769230769231</v>
      </c>
      <c r="G291" s="265">
        <f t="shared" si="53"/>
        <v>198.79033251231527</v>
      </c>
      <c r="H291" s="273">
        <f t="shared" si="59"/>
        <v>353.20966748768473</v>
      </c>
      <c r="I291" s="287">
        <f t="shared" si="60"/>
        <v>-37662</v>
      </c>
      <c r="J291" s="265"/>
      <c r="K291" s="274">
        <f>Données!Y291</f>
        <v>0</v>
      </c>
      <c r="L291" s="441">
        <f>Données!Z291</f>
        <v>0.13900000000000001</v>
      </c>
      <c r="M291" s="265">
        <f t="shared" si="54"/>
        <v>81.51641938674581</v>
      </c>
      <c r="N291" s="287">
        <f t="shared" si="55"/>
        <v>0</v>
      </c>
      <c r="O291" s="265"/>
      <c r="P291" s="249">
        <f>Données!AA291</f>
        <v>42</v>
      </c>
      <c r="Q291" s="284">
        <f>Données!AB291</f>
        <v>42</v>
      </c>
      <c r="R291" s="236">
        <f t="shared" si="56"/>
        <v>48.3</v>
      </c>
      <c r="S291" s="288">
        <f t="shared" si="57"/>
        <v>0.18576923076923077</v>
      </c>
      <c r="T291" s="273">
        <f t="shared" si="58"/>
        <v>35.411042944785258</v>
      </c>
      <c r="U291" s="273">
        <f t="shared" si="61"/>
        <v>12.888957055214739</v>
      </c>
      <c r="V291" s="287">
        <f t="shared" si="62"/>
        <v>-54972</v>
      </c>
      <c r="W291" s="340"/>
      <c r="X291" s="236">
        <f t="shared" si="63"/>
        <v>-26870.029673590503</v>
      </c>
      <c r="Y291" s="253">
        <f t="shared" si="64"/>
        <v>-28101.970326409497</v>
      </c>
    </row>
    <row r="292" spans="1:25" x14ac:dyDescent="0.25">
      <c r="A292" s="111">
        <f>Données!A292</f>
        <v>5922</v>
      </c>
      <c r="B292" s="119" t="str">
        <f>Données!B292</f>
        <v>Montagny-près-Yverdon</v>
      </c>
      <c r="C292" s="252">
        <f>Données!C292</f>
        <v>768</v>
      </c>
      <c r="D292" s="265"/>
      <c r="E292" s="249">
        <f>Données!X292</f>
        <v>348</v>
      </c>
      <c r="F292" s="286">
        <f t="shared" si="52"/>
        <v>0.453125</v>
      </c>
      <c r="G292" s="265">
        <f t="shared" si="53"/>
        <v>587.19605911330052</v>
      </c>
      <c r="H292" s="273">
        <f t="shared" si="59"/>
        <v>0</v>
      </c>
      <c r="I292" s="287">
        <f t="shared" si="60"/>
        <v>0</v>
      </c>
      <c r="J292" s="265"/>
      <c r="K292" s="274">
        <f>Données!Y292</f>
        <v>0</v>
      </c>
      <c r="L292" s="441">
        <f>Données!Z292</f>
        <v>0.06</v>
      </c>
      <c r="M292" s="265">
        <f t="shared" si="54"/>
        <v>35.186943620178042</v>
      </c>
      <c r="N292" s="287">
        <f t="shared" si="55"/>
        <v>0</v>
      </c>
      <c r="O292" s="265"/>
      <c r="P292" s="249">
        <f>Données!AA292</f>
        <v>84</v>
      </c>
      <c r="Q292" s="284">
        <f>Données!AB292</f>
        <v>53</v>
      </c>
      <c r="R292" s="236">
        <f t="shared" si="56"/>
        <v>91.95</v>
      </c>
      <c r="S292" s="288">
        <f t="shared" si="57"/>
        <v>0.11972656250000001</v>
      </c>
      <c r="T292" s="273">
        <f t="shared" si="58"/>
        <v>104.59877300613492</v>
      </c>
      <c r="U292" s="273">
        <f t="shared" si="61"/>
        <v>0</v>
      </c>
      <c r="V292" s="287">
        <f t="shared" si="62"/>
        <v>0</v>
      </c>
      <c r="W292" s="340"/>
      <c r="X292" s="236">
        <f t="shared" si="63"/>
        <v>0</v>
      </c>
      <c r="Y292" s="253">
        <f t="shared" si="64"/>
        <v>0</v>
      </c>
    </row>
    <row r="293" spans="1:25" x14ac:dyDescent="0.25">
      <c r="A293" s="111">
        <f>Données!A293</f>
        <v>5923</v>
      </c>
      <c r="B293" s="119" t="str">
        <f>Données!B293</f>
        <v>Oppens</v>
      </c>
      <c r="C293" s="252">
        <f>Données!C293</f>
        <v>201</v>
      </c>
      <c r="D293" s="265"/>
      <c r="E293" s="249">
        <f>Données!X293</f>
        <v>358</v>
      </c>
      <c r="F293" s="286">
        <f t="shared" si="52"/>
        <v>1.7810945273631842</v>
      </c>
      <c r="G293" s="265">
        <f t="shared" si="53"/>
        <v>153.68021859605912</v>
      </c>
      <c r="H293" s="273">
        <f t="shared" si="59"/>
        <v>204.31978140394088</v>
      </c>
      <c r="I293" s="287">
        <f t="shared" si="60"/>
        <v>-21786</v>
      </c>
      <c r="J293" s="265"/>
      <c r="K293" s="274">
        <f>Données!Y293</f>
        <v>0</v>
      </c>
      <c r="L293" s="441">
        <f>Données!Z293</f>
        <v>0.107</v>
      </c>
      <c r="M293" s="265">
        <f t="shared" si="54"/>
        <v>62.750049455984175</v>
      </c>
      <c r="N293" s="287">
        <f t="shared" si="55"/>
        <v>0</v>
      </c>
      <c r="O293" s="265"/>
      <c r="P293" s="249">
        <f>Données!AA293</f>
        <v>26</v>
      </c>
      <c r="Q293" s="284">
        <f>Données!AB293</f>
        <v>18</v>
      </c>
      <c r="R293" s="236">
        <f t="shared" si="56"/>
        <v>28.7</v>
      </c>
      <c r="S293" s="288">
        <f t="shared" si="57"/>
        <v>0.14278606965174129</v>
      </c>
      <c r="T293" s="273">
        <f t="shared" si="58"/>
        <v>27.375460122699373</v>
      </c>
      <c r="U293" s="273">
        <f t="shared" si="61"/>
        <v>1.3245398773006265</v>
      </c>
      <c r="V293" s="287">
        <f t="shared" si="62"/>
        <v>-5649</v>
      </c>
      <c r="W293" s="340"/>
      <c r="X293" s="236">
        <f t="shared" si="63"/>
        <v>-5649</v>
      </c>
      <c r="Y293" s="253">
        <f t="shared" si="64"/>
        <v>0</v>
      </c>
    </row>
    <row r="294" spans="1:25" x14ac:dyDescent="0.25">
      <c r="A294" s="111">
        <f>Données!A294</f>
        <v>5924</v>
      </c>
      <c r="B294" s="119" t="str">
        <f>Données!B294</f>
        <v>Orges</v>
      </c>
      <c r="C294" s="252">
        <f>Données!C294</f>
        <v>416</v>
      </c>
      <c r="D294" s="265"/>
      <c r="E294" s="249">
        <f>Données!X294</f>
        <v>405</v>
      </c>
      <c r="F294" s="286">
        <f t="shared" si="52"/>
        <v>0.97355769230769229</v>
      </c>
      <c r="G294" s="265">
        <f t="shared" si="53"/>
        <v>318.06453201970442</v>
      </c>
      <c r="H294" s="273">
        <f t="shared" si="59"/>
        <v>86.935467980295584</v>
      </c>
      <c r="I294" s="287">
        <f t="shared" si="60"/>
        <v>-9270</v>
      </c>
      <c r="J294" s="265"/>
      <c r="K294" s="274">
        <f>Données!Y294</f>
        <v>0</v>
      </c>
      <c r="L294" s="441">
        <f>Données!Z294</f>
        <v>1.2999999999999999E-2</v>
      </c>
      <c r="M294" s="265">
        <f t="shared" si="54"/>
        <v>7.6238377843719087</v>
      </c>
      <c r="N294" s="287">
        <f t="shared" si="55"/>
        <v>0</v>
      </c>
      <c r="O294" s="265"/>
      <c r="P294" s="249">
        <f>Données!AA294</f>
        <v>49</v>
      </c>
      <c r="Q294" s="284">
        <f>Données!AB294</f>
        <v>42</v>
      </c>
      <c r="R294" s="236">
        <f t="shared" si="56"/>
        <v>55.3</v>
      </c>
      <c r="S294" s="288">
        <f t="shared" si="57"/>
        <v>0.13293269230769231</v>
      </c>
      <c r="T294" s="273">
        <f t="shared" si="58"/>
        <v>56.657668711656413</v>
      </c>
      <c r="U294" s="273">
        <f t="shared" si="61"/>
        <v>0</v>
      </c>
      <c r="V294" s="287">
        <f t="shared" si="62"/>
        <v>0</v>
      </c>
      <c r="W294" s="340"/>
      <c r="X294" s="236">
        <f t="shared" si="63"/>
        <v>0</v>
      </c>
      <c r="Y294" s="253">
        <f t="shared" si="64"/>
        <v>0</v>
      </c>
    </row>
    <row r="295" spans="1:25" x14ac:dyDescent="0.25">
      <c r="A295" s="111">
        <f>Données!A295</f>
        <v>5925</v>
      </c>
      <c r="B295" s="119" t="str">
        <f>Données!B295</f>
        <v>Orzens</v>
      </c>
      <c r="C295" s="252">
        <f>Données!C295</f>
        <v>216</v>
      </c>
      <c r="D295" s="265"/>
      <c r="E295" s="249">
        <f>Données!X295</f>
        <v>420</v>
      </c>
      <c r="F295" s="286">
        <f t="shared" si="52"/>
        <v>1.9444444444444444</v>
      </c>
      <c r="G295" s="265">
        <f t="shared" si="53"/>
        <v>165.14889162561576</v>
      </c>
      <c r="H295" s="273">
        <f t="shared" si="59"/>
        <v>254.85110837438424</v>
      </c>
      <c r="I295" s="287">
        <f t="shared" si="60"/>
        <v>-27174</v>
      </c>
      <c r="J295" s="265"/>
      <c r="K295" s="274">
        <f>Données!Y295</f>
        <v>0</v>
      </c>
      <c r="L295" s="441">
        <f>Données!Z295</f>
        <v>6.3E-2</v>
      </c>
      <c r="M295" s="265">
        <f t="shared" si="54"/>
        <v>36.946290801186947</v>
      </c>
      <c r="N295" s="287">
        <f t="shared" si="55"/>
        <v>0</v>
      </c>
      <c r="O295" s="265"/>
      <c r="P295" s="249">
        <f>Données!AA295</f>
        <v>20</v>
      </c>
      <c r="Q295" s="284">
        <f>Données!AB295</f>
        <v>20</v>
      </c>
      <c r="R295" s="236">
        <f t="shared" si="56"/>
        <v>23</v>
      </c>
      <c r="S295" s="288">
        <f t="shared" si="57"/>
        <v>0.10648148148148148</v>
      </c>
      <c r="T295" s="273">
        <f t="shared" si="58"/>
        <v>29.418404907975447</v>
      </c>
      <c r="U295" s="273">
        <f t="shared" si="61"/>
        <v>0</v>
      </c>
      <c r="V295" s="287">
        <f t="shared" si="62"/>
        <v>0</v>
      </c>
      <c r="W295" s="340"/>
      <c r="X295" s="236">
        <f t="shared" si="63"/>
        <v>0</v>
      </c>
      <c r="Y295" s="253">
        <f t="shared" si="64"/>
        <v>0</v>
      </c>
    </row>
    <row r="296" spans="1:25" x14ac:dyDescent="0.25">
      <c r="A296" s="111">
        <f>Données!A296</f>
        <v>5926</v>
      </c>
      <c r="B296" s="119" t="str">
        <f>Données!B296</f>
        <v>Pomy</v>
      </c>
      <c r="C296" s="252">
        <f>Données!C296</f>
        <v>904</v>
      </c>
      <c r="D296" s="265"/>
      <c r="E296" s="249">
        <f>Données!X296</f>
        <v>559</v>
      </c>
      <c r="F296" s="286">
        <f t="shared" si="52"/>
        <v>0.61836283185840712</v>
      </c>
      <c r="G296" s="265">
        <f t="shared" si="53"/>
        <v>691.17869458128075</v>
      </c>
      <c r="H296" s="273">
        <f t="shared" si="59"/>
        <v>0</v>
      </c>
      <c r="I296" s="287">
        <f t="shared" si="60"/>
        <v>0</v>
      </c>
      <c r="J296" s="265"/>
      <c r="K296" s="274">
        <f>Données!Y296</f>
        <v>0</v>
      </c>
      <c r="L296" s="441">
        <f>Données!Z296</f>
        <v>3.6999999999999998E-2</v>
      </c>
      <c r="M296" s="265">
        <f t="shared" si="54"/>
        <v>21.698615232443125</v>
      </c>
      <c r="N296" s="287">
        <f t="shared" si="55"/>
        <v>0</v>
      </c>
      <c r="O296" s="265"/>
      <c r="P296" s="249">
        <f>Données!AA296</f>
        <v>138</v>
      </c>
      <c r="Q296" s="284">
        <f>Données!AB296</f>
        <v>86</v>
      </c>
      <c r="R296" s="236">
        <f t="shared" si="56"/>
        <v>150.9</v>
      </c>
      <c r="S296" s="288">
        <f t="shared" si="57"/>
        <v>0.16692477876106196</v>
      </c>
      <c r="T296" s="273">
        <f t="shared" si="58"/>
        <v>123.12147239263798</v>
      </c>
      <c r="U296" s="273">
        <f t="shared" si="61"/>
        <v>27.778527607362022</v>
      </c>
      <c r="V296" s="287">
        <f t="shared" si="62"/>
        <v>-118478</v>
      </c>
      <c r="W296" s="340"/>
      <c r="X296" s="236">
        <f t="shared" si="63"/>
        <v>-55019.584569732935</v>
      </c>
      <c r="Y296" s="253">
        <f t="shared" si="64"/>
        <v>-63458.415430267065</v>
      </c>
    </row>
    <row r="297" spans="1:25" x14ac:dyDescent="0.25">
      <c r="A297" s="111">
        <f>Données!A297</f>
        <v>5928</v>
      </c>
      <c r="B297" s="119" t="str">
        <f>Données!B297</f>
        <v>Rovray</v>
      </c>
      <c r="C297" s="252">
        <f>Données!C297</f>
        <v>198</v>
      </c>
      <c r="D297" s="265"/>
      <c r="E297" s="249">
        <f>Données!X297</f>
        <v>322</v>
      </c>
      <c r="F297" s="286">
        <f t="shared" si="52"/>
        <v>1.6262626262626263</v>
      </c>
      <c r="G297" s="265">
        <f t="shared" si="53"/>
        <v>151.38648399014778</v>
      </c>
      <c r="H297" s="273">
        <f t="shared" si="59"/>
        <v>170.61351600985222</v>
      </c>
      <c r="I297" s="287">
        <f t="shared" si="60"/>
        <v>-18192</v>
      </c>
      <c r="J297" s="265"/>
      <c r="K297" s="274">
        <f>Données!Y297</f>
        <v>0</v>
      </c>
      <c r="L297" s="441">
        <f>Données!Z297</f>
        <v>7.9000000000000001E-2</v>
      </c>
      <c r="M297" s="265">
        <f t="shared" si="54"/>
        <v>46.329475766567754</v>
      </c>
      <c r="N297" s="287">
        <f t="shared" si="55"/>
        <v>0</v>
      </c>
      <c r="O297" s="265"/>
      <c r="P297" s="249">
        <f>Données!AA297</f>
        <v>37</v>
      </c>
      <c r="Q297" s="284">
        <f>Données!AB297</f>
        <v>37</v>
      </c>
      <c r="R297" s="236">
        <f t="shared" si="56"/>
        <v>42.55</v>
      </c>
      <c r="S297" s="288">
        <f t="shared" si="57"/>
        <v>0.2148989898989899</v>
      </c>
      <c r="T297" s="273">
        <f t="shared" si="58"/>
        <v>26.966871165644157</v>
      </c>
      <c r="U297" s="273">
        <f t="shared" si="61"/>
        <v>15.58312883435584</v>
      </c>
      <c r="V297" s="287">
        <f t="shared" si="62"/>
        <v>-66463</v>
      </c>
      <c r="W297" s="340"/>
      <c r="X297" s="236">
        <f t="shared" si="63"/>
        <v>-23671.216617210681</v>
      </c>
      <c r="Y297" s="253">
        <f t="shared" si="64"/>
        <v>-42791.783382789319</v>
      </c>
    </row>
    <row r="298" spans="1:25" x14ac:dyDescent="0.25">
      <c r="A298" s="111">
        <f>Données!A298</f>
        <v>5929</v>
      </c>
      <c r="B298" s="119" t="str">
        <f>Données!B298</f>
        <v>Suchy</v>
      </c>
      <c r="C298" s="252">
        <f>Données!C298</f>
        <v>672</v>
      </c>
      <c r="D298" s="265"/>
      <c r="E298" s="249">
        <f>Données!X298</f>
        <v>665</v>
      </c>
      <c r="F298" s="286">
        <f t="shared" si="52"/>
        <v>0.98958333333333337</v>
      </c>
      <c r="G298" s="265">
        <f t="shared" si="53"/>
        <v>513.79655172413788</v>
      </c>
      <c r="H298" s="273">
        <f t="shared" si="59"/>
        <v>151.20344827586212</v>
      </c>
      <c r="I298" s="287">
        <f t="shared" si="60"/>
        <v>-16122</v>
      </c>
      <c r="J298" s="265"/>
      <c r="K298" s="274">
        <f>Données!Y298</f>
        <v>0</v>
      </c>
      <c r="L298" s="441">
        <f>Données!Z298</f>
        <v>3.3000000000000002E-2</v>
      </c>
      <c r="M298" s="265">
        <f t="shared" si="54"/>
        <v>19.352818991097923</v>
      </c>
      <c r="N298" s="287">
        <f t="shared" si="55"/>
        <v>0</v>
      </c>
      <c r="O298" s="265"/>
      <c r="P298" s="249">
        <f>Données!AA298</f>
        <v>102</v>
      </c>
      <c r="Q298" s="284">
        <f>Données!AB298</f>
        <v>101</v>
      </c>
      <c r="R298" s="236">
        <f t="shared" si="56"/>
        <v>117.15</v>
      </c>
      <c r="S298" s="288">
        <f t="shared" si="57"/>
        <v>0.17433035714285716</v>
      </c>
      <c r="T298" s="273">
        <f t="shared" si="58"/>
        <v>91.523926380368053</v>
      </c>
      <c r="U298" s="273">
        <f t="shared" si="61"/>
        <v>25.626073619631953</v>
      </c>
      <c r="V298" s="287">
        <f t="shared" si="62"/>
        <v>-109297</v>
      </c>
      <c r="W298" s="340"/>
      <c r="X298" s="236">
        <f t="shared" si="63"/>
        <v>-64616.023738872391</v>
      </c>
      <c r="Y298" s="253">
        <f t="shared" si="64"/>
        <v>-44680.976261127609</v>
      </c>
    </row>
    <row r="299" spans="1:25" x14ac:dyDescent="0.25">
      <c r="A299" s="111">
        <f>Données!A299</f>
        <v>5930</v>
      </c>
      <c r="B299" s="119" t="str">
        <f>Données!B299</f>
        <v>Suscévaz</v>
      </c>
      <c r="C299" s="252">
        <f>Données!C299</f>
        <v>263</v>
      </c>
      <c r="D299" s="265"/>
      <c r="E299" s="249">
        <f>Données!X299</f>
        <v>398</v>
      </c>
      <c r="F299" s="286">
        <f t="shared" si="52"/>
        <v>1.5133079847908746</v>
      </c>
      <c r="G299" s="265">
        <f t="shared" si="53"/>
        <v>201.08406711822661</v>
      </c>
      <c r="H299" s="273">
        <f t="shared" si="59"/>
        <v>196.91593288177339</v>
      </c>
      <c r="I299" s="287">
        <f t="shared" si="60"/>
        <v>-20997</v>
      </c>
      <c r="J299" s="265"/>
      <c r="K299" s="274">
        <f>Données!Y299</f>
        <v>0</v>
      </c>
      <c r="L299" s="441">
        <f>Données!Z299</f>
        <v>1.9E-2</v>
      </c>
      <c r="M299" s="265">
        <f t="shared" si="54"/>
        <v>11.142532146389714</v>
      </c>
      <c r="N299" s="287">
        <f t="shared" si="55"/>
        <v>0</v>
      </c>
      <c r="O299" s="265"/>
      <c r="P299" s="249">
        <f>Données!AA299</f>
        <v>33</v>
      </c>
      <c r="Q299" s="284">
        <f>Données!AB299</f>
        <v>33</v>
      </c>
      <c r="R299" s="236">
        <f t="shared" si="56"/>
        <v>37.950000000000003</v>
      </c>
      <c r="S299" s="288">
        <f t="shared" si="57"/>
        <v>0.14429657794676806</v>
      </c>
      <c r="T299" s="273">
        <f t="shared" si="58"/>
        <v>35.819631901840474</v>
      </c>
      <c r="U299" s="273">
        <f t="shared" si="61"/>
        <v>2.1303680981595292</v>
      </c>
      <c r="V299" s="287">
        <f t="shared" si="62"/>
        <v>-9086</v>
      </c>
      <c r="W299" s="340"/>
      <c r="X299" s="236">
        <f t="shared" si="63"/>
        <v>-9086</v>
      </c>
      <c r="Y299" s="253">
        <f t="shared" si="64"/>
        <v>0</v>
      </c>
    </row>
    <row r="300" spans="1:25" x14ac:dyDescent="0.25">
      <c r="A300" s="111">
        <f>Données!A300</f>
        <v>5931</v>
      </c>
      <c r="B300" s="119" t="str">
        <f>Données!B300</f>
        <v>Treycovagnes</v>
      </c>
      <c r="C300" s="252">
        <f>Données!C300</f>
        <v>518</v>
      </c>
      <c r="D300" s="265"/>
      <c r="E300" s="249">
        <f>Données!X300</f>
        <v>204</v>
      </c>
      <c r="F300" s="286">
        <f t="shared" si="52"/>
        <v>0.39382239382239381</v>
      </c>
      <c r="G300" s="265">
        <f t="shared" si="53"/>
        <v>396.05150862068967</v>
      </c>
      <c r="H300" s="273">
        <f t="shared" si="59"/>
        <v>0</v>
      </c>
      <c r="I300" s="287">
        <f t="shared" si="60"/>
        <v>0</v>
      </c>
      <c r="J300" s="265"/>
      <c r="K300" s="274">
        <f>Données!Y300</f>
        <v>0</v>
      </c>
      <c r="L300" s="441">
        <f>Données!Z300</f>
        <v>1.7999999999999999E-2</v>
      </c>
      <c r="M300" s="265">
        <f t="shared" si="54"/>
        <v>10.556083086053413</v>
      </c>
      <c r="N300" s="287">
        <f t="shared" si="55"/>
        <v>0</v>
      </c>
      <c r="O300" s="265"/>
      <c r="P300" s="249">
        <f>Données!AA300</f>
        <v>57</v>
      </c>
      <c r="Q300" s="284">
        <f>Données!AB300</f>
        <v>13</v>
      </c>
      <c r="R300" s="236">
        <f t="shared" si="56"/>
        <v>58.95</v>
      </c>
      <c r="S300" s="288">
        <f t="shared" si="57"/>
        <v>0.11380308880308881</v>
      </c>
      <c r="T300" s="273">
        <f t="shared" si="58"/>
        <v>70.549693251533711</v>
      </c>
      <c r="U300" s="273">
        <f t="shared" si="61"/>
        <v>0</v>
      </c>
      <c r="V300" s="287">
        <f t="shared" si="62"/>
        <v>0</v>
      </c>
      <c r="W300" s="340"/>
      <c r="X300" s="236">
        <f t="shared" si="63"/>
        <v>0</v>
      </c>
      <c r="Y300" s="253">
        <f t="shared" si="64"/>
        <v>0</v>
      </c>
    </row>
    <row r="301" spans="1:25" x14ac:dyDescent="0.25">
      <c r="A301" s="111">
        <f>Données!A301</f>
        <v>5932</v>
      </c>
      <c r="B301" s="119" t="str">
        <f>Données!B301</f>
        <v>Ursins</v>
      </c>
      <c r="C301" s="252">
        <f>Données!C301</f>
        <v>227</v>
      </c>
      <c r="D301" s="265"/>
      <c r="E301" s="249">
        <f>Données!X301</f>
        <v>339</v>
      </c>
      <c r="F301" s="286">
        <f t="shared" si="52"/>
        <v>1.4933920704845816</v>
      </c>
      <c r="G301" s="265">
        <f t="shared" si="53"/>
        <v>173.55925184729065</v>
      </c>
      <c r="H301" s="273">
        <f t="shared" si="59"/>
        <v>165.44074815270935</v>
      </c>
      <c r="I301" s="287">
        <f t="shared" si="60"/>
        <v>-17640</v>
      </c>
      <c r="J301" s="265"/>
      <c r="K301" s="274">
        <f>Données!Y301</f>
        <v>0</v>
      </c>
      <c r="L301" s="441">
        <f>Données!Z301</f>
        <v>1.7000000000000001E-2</v>
      </c>
      <c r="M301" s="265">
        <f t="shared" si="54"/>
        <v>9.969634025717113</v>
      </c>
      <c r="N301" s="287">
        <f t="shared" si="55"/>
        <v>0</v>
      </c>
      <c r="O301" s="265"/>
      <c r="P301" s="249">
        <f>Données!AA301</f>
        <v>20</v>
      </c>
      <c r="Q301" s="284">
        <f>Données!AB301</f>
        <v>20</v>
      </c>
      <c r="R301" s="236">
        <f t="shared" si="56"/>
        <v>23</v>
      </c>
      <c r="S301" s="288">
        <f t="shared" si="57"/>
        <v>0.1013215859030837</v>
      </c>
      <c r="T301" s="273">
        <f t="shared" si="58"/>
        <v>30.916564417177899</v>
      </c>
      <c r="U301" s="273">
        <f t="shared" si="61"/>
        <v>0</v>
      </c>
      <c r="V301" s="287">
        <f t="shared" si="62"/>
        <v>0</v>
      </c>
      <c r="W301" s="340"/>
      <c r="X301" s="236">
        <f t="shared" si="63"/>
        <v>0</v>
      </c>
      <c r="Y301" s="253">
        <f t="shared" si="64"/>
        <v>0</v>
      </c>
    </row>
    <row r="302" spans="1:25" x14ac:dyDescent="0.25">
      <c r="A302" s="111">
        <f>Données!A302</f>
        <v>5933</v>
      </c>
      <c r="B302" s="119" t="str">
        <f>Données!B302</f>
        <v>Valeyres-sous-Montagny</v>
      </c>
      <c r="C302" s="252">
        <f>Données!C302</f>
        <v>717</v>
      </c>
      <c r="D302" s="265"/>
      <c r="E302" s="249">
        <f>Données!X302</f>
        <v>225</v>
      </c>
      <c r="F302" s="286">
        <f t="shared" si="52"/>
        <v>0.31380753138075312</v>
      </c>
      <c r="G302" s="265">
        <f t="shared" si="53"/>
        <v>548.20257081280783</v>
      </c>
      <c r="H302" s="273">
        <f t="shared" si="59"/>
        <v>0</v>
      </c>
      <c r="I302" s="287">
        <f t="shared" si="60"/>
        <v>0</v>
      </c>
      <c r="J302" s="265"/>
      <c r="K302" s="274">
        <f>Données!Y302</f>
        <v>0</v>
      </c>
      <c r="L302" s="441">
        <f>Données!Z302</f>
        <v>6.8000000000000005E-2</v>
      </c>
      <c r="M302" s="265">
        <f t="shared" si="54"/>
        <v>39.878536102868452</v>
      </c>
      <c r="N302" s="287">
        <f t="shared" si="55"/>
        <v>0</v>
      </c>
      <c r="O302" s="265"/>
      <c r="P302" s="249">
        <f>Données!AA302</f>
        <v>71</v>
      </c>
      <c r="Q302" s="284">
        <f>Données!AB302</f>
        <v>23</v>
      </c>
      <c r="R302" s="236">
        <f t="shared" si="56"/>
        <v>74.45</v>
      </c>
      <c r="S302" s="288">
        <f t="shared" si="57"/>
        <v>0.10383542538354254</v>
      </c>
      <c r="T302" s="273">
        <f t="shared" si="58"/>
        <v>97.652760736196271</v>
      </c>
      <c r="U302" s="273">
        <f t="shared" si="61"/>
        <v>0</v>
      </c>
      <c r="V302" s="287">
        <f t="shared" si="62"/>
        <v>0</v>
      </c>
      <c r="W302" s="340"/>
      <c r="X302" s="236">
        <f t="shared" si="63"/>
        <v>0</v>
      </c>
      <c r="Y302" s="253">
        <f t="shared" si="64"/>
        <v>0</v>
      </c>
    </row>
    <row r="303" spans="1:25" x14ac:dyDescent="0.25">
      <c r="A303" s="111">
        <f>Données!A303</f>
        <v>5934</v>
      </c>
      <c r="B303" s="119" t="str">
        <f>Données!B303</f>
        <v>Valeyres-sous-Ursins</v>
      </c>
      <c r="C303" s="252">
        <f>Données!C303</f>
        <v>225</v>
      </c>
      <c r="D303" s="265"/>
      <c r="E303" s="249">
        <f>Données!X303</f>
        <v>286</v>
      </c>
      <c r="F303" s="286">
        <f t="shared" si="52"/>
        <v>1.2711111111111111</v>
      </c>
      <c r="G303" s="265">
        <f t="shared" si="53"/>
        <v>172.03009544334975</v>
      </c>
      <c r="H303" s="273">
        <f t="shared" si="59"/>
        <v>113.96990455665025</v>
      </c>
      <c r="I303" s="287">
        <f t="shared" si="60"/>
        <v>-12152</v>
      </c>
      <c r="J303" s="265"/>
      <c r="K303" s="274">
        <f>Données!Y303</f>
        <v>0</v>
      </c>
      <c r="L303" s="441">
        <f>Données!Z303</f>
        <v>0.08</v>
      </c>
      <c r="M303" s="265">
        <f t="shared" si="54"/>
        <v>46.91592482690406</v>
      </c>
      <c r="N303" s="287">
        <f t="shared" si="55"/>
        <v>0</v>
      </c>
      <c r="O303" s="265"/>
      <c r="P303" s="249">
        <f>Données!AA303</f>
        <v>21</v>
      </c>
      <c r="Q303" s="284">
        <f>Données!AB303</f>
        <v>21</v>
      </c>
      <c r="R303" s="236">
        <f t="shared" si="56"/>
        <v>24.15</v>
      </c>
      <c r="S303" s="288">
        <f t="shared" si="57"/>
        <v>0.10733333333333332</v>
      </c>
      <c r="T303" s="273">
        <f t="shared" si="58"/>
        <v>30.644171779141089</v>
      </c>
      <c r="U303" s="273">
        <f t="shared" si="61"/>
        <v>0</v>
      </c>
      <c r="V303" s="287">
        <f t="shared" si="62"/>
        <v>0</v>
      </c>
      <c r="W303" s="340"/>
      <c r="X303" s="236">
        <f t="shared" si="63"/>
        <v>0</v>
      </c>
      <c r="Y303" s="253">
        <f t="shared" si="64"/>
        <v>0</v>
      </c>
    </row>
    <row r="304" spans="1:25" x14ac:dyDescent="0.25">
      <c r="A304" s="111">
        <f>Données!A304</f>
        <v>5935</v>
      </c>
      <c r="B304" s="119" t="str">
        <f>Données!B304</f>
        <v>Villars-Epeney</v>
      </c>
      <c r="C304" s="252">
        <f>Données!C304</f>
        <v>109</v>
      </c>
      <c r="D304" s="265"/>
      <c r="E304" s="249">
        <f>Données!X304</f>
        <v>88</v>
      </c>
      <c r="F304" s="286">
        <f t="shared" si="52"/>
        <v>0.80733944954128445</v>
      </c>
      <c r="G304" s="265">
        <f t="shared" si="53"/>
        <v>83.339024014778332</v>
      </c>
      <c r="H304" s="273">
        <f t="shared" si="59"/>
        <v>4.6609759852216683</v>
      </c>
      <c r="I304" s="287">
        <f t="shared" si="60"/>
        <v>-497</v>
      </c>
      <c r="J304" s="265"/>
      <c r="K304" s="274">
        <f>Données!Y304</f>
        <v>0</v>
      </c>
      <c r="L304" s="441">
        <f>Données!Z304</f>
        <v>1.9E-2</v>
      </c>
      <c r="M304" s="265">
        <f t="shared" si="54"/>
        <v>11.142532146389714</v>
      </c>
      <c r="N304" s="287">
        <f t="shared" si="55"/>
        <v>0</v>
      </c>
      <c r="O304" s="265"/>
      <c r="P304" s="249">
        <f>Données!AA304</f>
        <v>13</v>
      </c>
      <c r="Q304" s="284">
        <f>Données!AB304</f>
        <v>13</v>
      </c>
      <c r="R304" s="236">
        <f t="shared" si="56"/>
        <v>14.95</v>
      </c>
      <c r="S304" s="288">
        <f t="shared" si="57"/>
        <v>0.13715596330275229</v>
      </c>
      <c r="T304" s="273">
        <f t="shared" si="58"/>
        <v>14.845398773006128</v>
      </c>
      <c r="U304" s="273">
        <f t="shared" si="61"/>
        <v>0.10460122699387142</v>
      </c>
      <c r="V304" s="287">
        <f t="shared" si="62"/>
        <v>-446</v>
      </c>
      <c r="W304" s="340"/>
      <c r="X304" s="236">
        <f t="shared" si="63"/>
        <v>-446</v>
      </c>
      <c r="Y304" s="253">
        <f t="shared" si="64"/>
        <v>0</v>
      </c>
    </row>
    <row r="305" spans="1:25" x14ac:dyDescent="0.25">
      <c r="A305" s="111">
        <f>Données!A305</f>
        <v>5937</v>
      </c>
      <c r="B305" s="119" t="str">
        <f>Données!B305</f>
        <v>Vugelles-La Mothe</v>
      </c>
      <c r="C305" s="252">
        <f>Données!C305</f>
        <v>142</v>
      </c>
      <c r="D305" s="265"/>
      <c r="E305" s="249">
        <f>Données!X305</f>
        <v>303</v>
      </c>
      <c r="F305" s="286">
        <f t="shared" si="52"/>
        <v>2.1338028169014085</v>
      </c>
      <c r="G305" s="265">
        <f t="shared" si="53"/>
        <v>108.57010467980295</v>
      </c>
      <c r="H305" s="273">
        <f t="shared" si="59"/>
        <v>194.42989532019703</v>
      </c>
      <c r="I305" s="287">
        <f t="shared" si="60"/>
        <v>-20731</v>
      </c>
      <c r="J305" s="265"/>
      <c r="K305" s="274">
        <f>Données!Y305</f>
        <v>0</v>
      </c>
      <c r="L305" s="441">
        <f>Données!Z305</f>
        <v>0.52900000000000003</v>
      </c>
      <c r="M305" s="265">
        <f t="shared" si="54"/>
        <v>310.23155291790306</v>
      </c>
      <c r="N305" s="287">
        <f t="shared" si="55"/>
        <v>0</v>
      </c>
      <c r="O305" s="265"/>
      <c r="P305" s="249">
        <f>Données!AA305</f>
        <v>10</v>
      </c>
      <c r="Q305" s="284">
        <f>Données!AB305</f>
        <v>10</v>
      </c>
      <c r="R305" s="236">
        <f t="shared" si="56"/>
        <v>11.5</v>
      </c>
      <c r="S305" s="288">
        <f t="shared" si="57"/>
        <v>8.098591549295775E-2</v>
      </c>
      <c r="T305" s="273">
        <f t="shared" si="58"/>
        <v>19.339877300613487</v>
      </c>
      <c r="U305" s="273">
        <f t="shared" si="61"/>
        <v>0</v>
      </c>
      <c r="V305" s="287">
        <f t="shared" si="62"/>
        <v>0</v>
      </c>
      <c r="W305" s="340"/>
      <c r="X305" s="236">
        <f t="shared" si="63"/>
        <v>0</v>
      </c>
      <c r="Y305" s="253">
        <f t="shared" si="64"/>
        <v>0</v>
      </c>
    </row>
    <row r="306" spans="1:25" x14ac:dyDescent="0.25">
      <c r="A306" s="111">
        <f>Données!A306</f>
        <v>5938</v>
      </c>
      <c r="B306" s="119" t="str">
        <f>Données!B306</f>
        <v>Yverdon-les-Bains</v>
      </c>
      <c r="C306" s="252">
        <f>Données!C306</f>
        <v>30600</v>
      </c>
      <c r="D306" s="265"/>
      <c r="E306" s="249">
        <f>Données!X306</f>
        <v>1279</v>
      </c>
      <c r="F306" s="286">
        <f t="shared" si="52"/>
        <v>4.1797385620915034E-2</v>
      </c>
      <c r="G306" s="265">
        <f t="shared" si="53"/>
        <v>23396.092980295565</v>
      </c>
      <c r="H306" s="273">
        <f t="shared" si="59"/>
        <v>0</v>
      </c>
      <c r="I306" s="287">
        <f t="shared" si="60"/>
        <v>0</v>
      </c>
      <c r="J306" s="265"/>
      <c r="K306" s="274">
        <f>Données!Y306</f>
        <v>0</v>
      </c>
      <c r="L306" s="441">
        <f>Données!Z306</f>
        <v>6.4000000000000001E-2</v>
      </c>
      <c r="M306" s="265">
        <f t="shared" si="54"/>
        <v>37.532739861523247</v>
      </c>
      <c r="N306" s="287">
        <f t="shared" si="55"/>
        <v>0</v>
      </c>
      <c r="O306" s="265"/>
      <c r="P306" s="249">
        <f>Données!AA306</f>
        <v>3633</v>
      </c>
      <c r="Q306" s="284">
        <f>Données!AB306</f>
        <v>96</v>
      </c>
      <c r="R306" s="236">
        <f t="shared" si="56"/>
        <v>3647.4</v>
      </c>
      <c r="S306" s="288">
        <f t="shared" si="57"/>
        <v>0.11919607843137255</v>
      </c>
      <c r="T306" s="273">
        <f t="shared" si="58"/>
        <v>4167.6073619631879</v>
      </c>
      <c r="U306" s="273">
        <f t="shared" si="61"/>
        <v>0</v>
      </c>
      <c r="V306" s="287">
        <f t="shared" si="62"/>
        <v>0</v>
      </c>
      <c r="W306" s="340"/>
      <c r="X306" s="236">
        <f t="shared" si="63"/>
        <v>0</v>
      </c>
      <c r="Y306" s="253">
        <f t="shared" si="64"/>
        <v>0</v>
      </c>
    </row>
    <row r="307" spans="1:25" x14ac:dyDescent="0.25">
      <c r="A307" s="113">
        <f>Données!A307</f>
        <v>5939</v>
      </c>
      <c r="B307" s="120" t="str">
        <f>Données!B307</f>
        <v>Yvonand</v>
      </c>
      <c r="C307" s="275">
        <f>Données!C307</f>
        <v>3536</v>
      </c>
      <c r="D307" s="265"/>
      <c r="E307" s="276">
        <f>Données!X307</f>
        <v>1294</v>
      </c>
      <c r="F307" s="289">
        <f>E307/C307</f>
        <v>0.36595022624434387</v>
      </c>
      <c r="G307" s="265">
        <f t="shared" si="53"/>
        <v>2703.5485221674876</v>
      </c>
      <c r="H307" s="273">
        <f t="shared" si="59"/>
        <v>0</v>
      </c>
      <c r="I307" s="290">
        <f t="shared" si="60"/>
        <v>0</v>
      </c>
      <c r="J307" s="265"/>
      <c r="K307" s="291">
        <f>Données!Y307</f>
        <v>0</v>
      </c>
      <c r="L307" s="442">
        <f>Données!Z307</f>
        <v>0.13300000000000001</v>
      </c>
      <c r="M307" s="278">
        <f t="shared" si="54"/>
        <v>77.997725024727998</v>
      </c>
      <c r="N307" s="290">
        <f t="shared" si="55"/>
        <v>0</v>
      </c>
      <c r="O307" s="265"/>
      <c r="P307" s="249">
        <f>Données!AA307</f>
        <v>474</v>
      </c>
      <c r="Q307" s="284">
        <f>Données!AB307</f>
        <v>37</v>
      </c>
      <c r="R307" s="258">
        <f t="shared" si="56"/>
        <v>479.55</v>
      </c>
      <c r="S307" s="292">
        <f t="shared" si="57"/>
        <v>0.1356193438914027</v>
      </c>
      <c r="T307" s="279">
        <f t="shared" si="58"/>
        <v>481.59018404907954</v>
      </c>
      <c r="U307" s="279">
        <f t="shared" si="61"/>
        <v>0</v>
      </c>
      <c r="V307" s="290">
        <f t="shared" si="62"/>
        <v>0</v>
      </c>
      <c r="W307" s="340"/>
      <c r="X307" s="258">
        <f t="shared" si="63"/>
        <v>0</v>
      </c>
      <c r="Y307" s="259">
        <f t="shared" si="64"/>
        <v>0</v>
      </c>
    </row>
    <row r="308" spans="1:25" x14ac:dyDescent="0.25">
      <c r="A308" s="560" t="s">
        <v>25</v>
      </c>
      <c r="B308" s="561"/>
      <c r="C308" s="293">
        <f>SUM(C8:C307)</f>
        <v>864226</v>
      </c>
      <c r="D308" s="265"/>
      <c r="E308" s="262">
        <f>SUM(E8:E307)</f>
        <v>269771</v>
      </c>
      <c r="F308" s="262" t="s">
        <v>26</v>
      </c>
      <c r="G308" s="294">
        <f>SUM(G8:G307)</f>
        <v>660768.36117610824</v>
      </c>
      <c r="H308" s="262">
        <f>SUM(H8:H307)</f>
        <v>77066.743642241359</v>
      </c>
      <c r="I308" s="290">
        <f>SUM(I8:I307)</f>
        <v>-8217402</v>
      </c>
      <c r="J308" s="265"/>
      <c r="K308" s="258">
        <f>SUM(K8:K307)</f>
        <v>91542</v>
      </c>
      <c r="L308" s="261" t="s">
        <v>26</v>
      </c>
      <c r="M308" s="295" t="s">
        <v>26</v>
      </c>
      <c r="N308" s="290">
        <f>SUM(N8:N307)</f>
        <v>-15144929</v>
      </c>
      <c r="O308" s="265"/>
      <c r="P308" s="262">
        <f>SUM(P8:P307)</f>
        <v>95192</v>
      </c>
      <c r="Q308" s="262">
        <f t="shared" ref="Q308:V308" si="65">SUM(Q8:Q307)</f>
        <v>19300</v>
      </c>
      <c r="R308" s="258">
        <f t="shared" si="65"/>
        <v>98086.999999999956</v>
      </c>
      <c r="S308" s="296" t="s">
        <v>26</v>
      </c>
      <c r="T308" s="258">
        <f t="shared" si="65"/>
        <v>117704.39999999995</v>
      </c>
      <c r="U308" s="258">
        <f t="shared" si="65"/>
        <v>1408.4153374233197</v>
      </c>
      <c r="V308" s="290">
        <f t="shared" si="65"/>
        <v>-6007007</v>
      </c>
      <c r="W308" s="244"/>
      <c r="X308" s="258">
        <f>SUM(X8:X307)</f>
        <v>-3563377.1810089005</v>
      </c>
      <c r="Y308" s="262">
        <f>SUM(Y8:Y307)</f>
        <v>-2443629.8189910986</v>
      </c>
    </row>
    <row r="309" spans="1:25" x14ac:dyDescent="0.25">
      <c r="D309" s="9"/>
      <c r="I309" s="365">
        <f>I308/C3</f>
        <v>0.27979527492243783</v>
      </c>
      <c r="J309" s="366"/>
      <c r="K309" s="367"/>
      <c r="L309" s="367"/>
      <c r="M309" s="367"/>
      <c r="N309" s="368">
        <f>N308/C3</f>
        <v>0.51567144618649563</v>
      </c>
      <c r="O309" s="367"/>
      <c r="P309" s="367"/>
      <c r="Q309" s="367"/>
      <c r="R309" s="367"/>
      <c r="S309" s="367"/>
      <c r="T309" s="367"/>
      <c r="U309" s="367"/>
      <c r="V309" s="368">
        <f>V308/C3</f>
        <v>0.20453327889106659</v>
      </c>
    </row>
  </sheetData>
  <sheetProtection sheet="1" objects="1" scenarios="1"/>
  <mergeCells count="28">
    <mergeCell ref="A308:B308"/>
    <mergeCell ref="B6:B7"/>
    <mergeCell ref="A6:A7"/>
    <mergeCell ref="F6:F7"/>
    <mergeCell ref="G6:G7"/>
    <mergeCell ref="C6:C7"/>
    <mergeCell ref="E6:E7"/>
    <mergeCell ref="X6:X7"/>
    <mergeCell ref="Y6:Y7"/>
    <mergeCell ref="A3:B4"/>
    <mergeCell ref="C3:C4"/>
    <mergeCell ref="N3:N4"/>
    <mergeCell ref="E3:G5"/>
    <mergeCell ref="K3:L5"/>
    <mergeCell ref="N6:N7"/>
    <mergeCell ref="M6:M7"/>
    <mergeCell ref="K6:K7"/>
    <mergeCell ref="L6:L7"/>
    <mergeCell ref="H6:H7"/>
    <mergeCell ref="U6:U7"/>
    <mergeCell ref="V6:V7"/>
    <mergeCell ref="I6:I7"/>
    <mergeCell ref="M3:M4"/>
    <mergeCell ref="R6:R7"/>
    <mergeCell ref="S6:S7"/>
    <mergeCell ref="T6:T7"/>
    <mergeCell ref="P3:T5"/>
    <mergeCell ref="W6:W7"/>
  </mergeCells>
  <hyperlinks>
    <hyperlink ref="F1" location="Ressources!A1" display="← Précédent" xr:uid="{02BB707F-C9CA-441A-B7A7-891508CBE08A}"/>
    <hyperlink ref="G1" location="'Table des matières'!A1" display="Table des matières" xr:uid="{A3A856DB-D915-432D-B45A-BBEABF66BF4F}"/>
    <hyperlink ref="H1" location="'Charges des villes'!A1" display="Suivant →" xr:uid="{F4487309-89F7-4E9B-B8BA-D8524B4DD298}"/>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9C26F-CB95-489F-82AB-C99617D0D8CE}">
  <sheetPr codeName="Feuil10">
    <tabColor theme="9" tint="0.79998168889431442"/>
    <pageSetUpPr autoPageBreaks="0"/>
  </sheetPr>
  <dimension ref="A1:U308"/>
  <sheetViews>
    <sheetView zoomScale="90" zoomScaleNormal="90" workbookViewId="0">
      <pane ySplit="7" topLeftCell="A8" activePane="bottomLeft" state="frozen"/>
      <selection pane="bottomLeft" activeCell="U22" sqref="U22"/>
    </sheetView>
  </sheetViews>
  <sheetFormatPr baseColWidth="10" defaultRowHeight="15" x14ac:dyDescent="0.25"/>
  <cols>
    <col min="1" max="1" width="7.140625" style="4" customWidth="1"/>
    <col min="2" max="2" width="26.7109375" style="4" customWidth="1"/>
    <col min="3" max="3" width="13.85546875" style="4" customWidth="1"/>
    <col min="4" max="10" width="11.7109375" style="4" customWidth="1"/>
    <col min="11" max="11" width="2.85546875" style="4" customWidth="1"/>
    <col min="12" max="13" width="15.7109375" style="4" customWidth="1"/>
    <col min="14" max="14" width="14.140625" style="4" customWidth="1"/>
    <col min="15" max="15" width="2.85546875" style="4" customWidth="1"/>
    <col min="16" max="17" width="13.7109375" style="4" customWidth="1"/>
    <col min="18" max="18" width="14.85546875" style="4" customWidth="1"/>
    <col min="19" max="21" width="14.140625" style="4" customWidth="1"/>
    <col min="22" max="16384" width="11.42578125" style="4"/>
  </cols>
  <sheetData>
    <row r="1" spans="1:21" ht="26.25" x14ac:dyDescent="0.25">
      <c r="A1" s="8" t="s">
        <v>427</v>
      </c>
      <c r="G1" s="96" t="s">
        <v>441</v>
      </c>
      <c r="H1" s="98" t="s">
        <v>442</v>
      </c>
      <c r="I1" s="99" t="s">
        <v>443</v>
      </c>
      <c r="J1" s="84"/>
      <c r="O1" s="29"/>
      <c r="S1" s="369"/>
    </row>
    <row r="2" spans="1:21" ht="15" customHeight="1" x14ac:dyDescent="0.25">
      <c r="A2" s="46" t="str">
        <f>_xlfn.CONCAT(Paramètres!M5," ",Paramètres!N5)</f>
        <v>Décompte final 2025</v>
      </c>
      <c r="B2" s="26"/>
      <c r="K2" s="6"/>
    </row>
    <row r="3" spans="1:21" ht="15" customHeight="1" x14ac:dyDescent="0.25">
      <c r="A3" s="26"/>
      <c r="B3" s="26"/>
      <c r="C3" s="567" t="s">
        <v>50</v>
      </c>
      <c r="D3" s="568"/>
      <c r="E3" s="568"/>
      <c r="F3" s="568"/>
      <c r="G3" s="568"/>
      <c r="H3" s="568"/>
      <c r="I3" s="568"/>
      <c r="J3" s="569"/>
      <c r="K3" s="18"/>
      <c r="L3" s="570" t="s">
        <v>29</v>
      </c>
      <c r="M3" s="571"/>
      <c r="N3" s="572"/>
      <c r="P3" s="516" t="s">
        <v>423</v>
      </c>
      <c r="Q3" s="517"/>
      <c r="R3" s="517"/>
      <c r="S3" s="517"/>
      <c r="T3" s="517"/>
      <c r="U3" s="518"/>
    </row>
    <row r="4" spans="1:21" ht="15" customHeight="1" x14ac:dyDescent="0.25">
      <c r="A4" s="26"/>
      <c r="B4" s="26"/>
      <c r="C4" s="202" t="s">
        <v>22</v>
      </c>
      <c r="D4" s="154">
        <f>Paramètres!N9</f>
        <v>0</v>
      </c>
      <c r="E4" s="154">
        <f>Paramètres!O9</f>
        <v>1000</v>
      </c>
      <c r="F4" s="154">
        <f>Paramètres!P9</f>
        <v>3000</v>
      </c>
      <c r="G4" s="154">
        <f>Paramètres!R9</f>
        <v>12000</v>
      </c>
      <c r="H4" s="154">
        <f>Paramètres!S9</f>
        <v>15000</v>
      </c>
      <c r="I4" s="154">
        <f>Paramètres!T9</f>
        <v>30000</v>
      </c>
      <c r="J4" s="154">
        <f>Paramètres!U9</f>
        <v>45000</v>
      </c>
      <c r="K4" s="14"/>
      <c r="L4" s="573"/>
      <c r="M4" s="574"/>
      <c r="N4" s="575"/>
      <c r="P4" s="528"/>
      <c r="Q4" s="529"/>
      <c r="R4" s="529"/>
      <c r="S4" s="529"/>
      <c r="T4" s="529"/>
      <c r="U4" s="530"/>
    </row>
    <row r="5" spans="1:21" ht="15" customHeight="1" x14ac:dyDescent="0.25">
      <c r="A5" s="26"/>
      <c r="B5" s="26"/>
      <c r="C5" s="203" t="s">
        <v>23</v>
      </c>
      <c r="D5" s="154">
        <f>Paramètres!N10</f>
        <v>1000</v>
      </c>
      <c r="E5" s="154">
        <f>Paramètres!O10</f>
        <v>3000</v>
      </c>
      <c r="F5" s="154">
        <f>Paramètres!Q10</f>
        <v>12000</v>
      </c>
      <c r="G5" s="154">
        <f>Paramètres!R10</f>
        <v>15000</v>
      </c>
      <c r="H5" s="154">
        <f>Paramètres!S10</f>
        <v>30000</v>
      </c>
      <c r="I5" s="154">
        <f>Paramètres!T10</f>
        <v>45000</v>
      </c>
      <c r="J5" s="154" t="str">
        <f>Paramètres!U10</f>
        <v/>
      </c>
      <c r="K5" s="14"/>
      <c r="L5" s="484" t="s">
        <v>25</v>
      </c>
      <c r="M5" s="485"/>
      <c r="N5" s="72" t="s">
        <v>440</v>
      </c>
      <c r="P5" s="576" t="s">
        <v>418</v>
      </c>
      <c r="Q5" s="577"/>
      <c r="R5" s="577" t="s">
        <v>25</v>
      </c>
      <c r="S5" s="577"/>
      <c r="T5" s="580"/>
      <c r="U5" s="72" t="s">
        <v>440</v>
      </c>
    </row>
    <row r="6" spans="1:21" ht="15" customHeight="1" x14ac:dyDescent="0.25">
      <c r="C6" s="204" t="s">
        <v>51</v>
      </c>
      <c r="D6" s="155">
        <f>Paramètres!N12</f>
        <v>133.28387734915924</v>
      </c>
      <c r="E6" s="155">
        <f>Paramètres!O12</f>
        <v>373.19485657764591</v>
      </c>
      <c r="F6" s="155">
        <f>Paramètres!P12</f>
        <v>666.41938674579626</v>
      </c>
      <c r="G6" s="155">
        <f>Paramètres!R12</f>
        <v>1066.2710187932739</v>
      </c>
      <c r="H6" s="155">
        <f>Paramètres!S12</f>
        <v>1119.5845697329378</v>
      </c>
      <c r="I6" s="155">
        <f>Paramètres!T12</f>
        <v>1172.8981206726014</v>
      </c>
      <c r="J6" s="156">
        <f>Paramètres!U12</f>
        <v>1226.211671612265</v>
      </c>
      <c r="K6" s="49"/>
      <c r="L6" s="321">
        <f>L308</f>
        <v>-516460150.24727947</v>
      </c>
      <c r="M6" s="321">
        <f>M308</f>
        <v>516460150.24727935</v>
      </c>
      <c r="N6" s="68" t="str">
        <f>IF(ROUND(N308,5)=0,"OK","ERREUR")</f>
        <v>OK</v>
      </c>
      <c r="O6" s="29"/>
      <c r="P6" s="578">
        <f>Paramètres!U5</f>
        <v>0.6</v>
      </c>
      <c r="Q6" s="579"/>
      <c r="R6" s="321">
        <f>R308</f>
        <v>145703794.98685911</v>
      </c>
      <c r="S6" s="321">
        <f>S308</f>
        <v>-87422276.992115468</v>
      </c>
      <c r="T6" s="321">
        <f>-S308</f>
        <v>87422276.992115468</v>
      </c>
      <c r="U6" s="68" t="str">
        <f>IF(ROUND(U308,5)=0,"OK","ERREUR")</f>
        <v>OK</v>
      </c>
    </row>
    <row r="7" spans="1:21" s="6" customFormat="1" ht="37.5" customHeight="1" x14ac:dyDescent="0.25">
      <c r="A7" s="201" t="s">
        <v>0</v>
      </c>
      <c r="B7" s="201" t="s">
        <v>1</v>
      </c>
      <c r="C7" s="181" t="s">
        <v>29</v>
      </c>
      <c r="D7" s="564" t="s">
        <v>516</v>
      </c>
      <c r="E7" s="565"/>
      <c r="F7" s="565"/>
      <c r="G7" s="565"/>
      <c r="H7" s="565"/>
      <c r="I7" s="565"/>
      <c r="J7" s="566"/>
      <c r="K7" s="5"/>
      <c r="L7" s="198" t="s">
        <v>13</v>
      </c>
      <c r="M7" s="189" t="s">
        <v>14</v>
      </c>
      <c r="N7" s="198" t="s">
        <v>12</v>
      </c>
      <c r="O7" s="14"/>
      <c r="P7" s="189" t="str">
        <f>CONCATENATE("Déficit selon budget ",Paramètres!O5)</f>
        <v>Déficit selon budget 2025</v>
      </c>
      <c r="Q7" s="189" t="str">
        <f>CONCATENATE("Solde du déficit ",Paramètres!O5-1)</f>
        <v>Solde du déficit 2024</v>
      </c>
      <c r="R7" s="189" t="s">
        <v>533</v>
      </c>
      <c r="S7" s="189" t="s">
        <v>13</v>
      </c>
      <c r="T7" s="189" t="s">
        <v>14</v>
      </c>
      <c r="U7" s="189" t="s">
        <v>12</v>
      </c>
    </row>
    <row r="8" spans="1:21" x14ac:dyDescent="0.25">
      <c r="A8" s="157">
        <f>Données!A8</f>
        <v>5401</v>
      </c>
      <c r="B8" s="158" t="str">
        <f>Données!B8</f>
        <v>Aigle</v>
      </c>
      <c r="C8" s="297">
        <f>Données!C8</f>
        <v>12081</v>
      </c>
      <c r="D8" s="298">
        <f t="shared" ref="D8:D71" si="0">IF(C8&gt;$D$5,$D$5-$D$4,C8)</f>
        <v>1000</v>
      </c>
      <c r="E8" s="298">
        <f t="shared" ref="E8:I8" si="1">IF($C8&lt;E$4,0,IF($C8&gt;E$5,E$5-E$4,$C8-E$4))</f>
        <v>2000</v>
      </c>
      <c r="F8" s="299">
        <f t="shared" si="1"/>
        <v>9000</v>
      </c>
      <c r="G8" s="300">
        <f t="shared" si="1"/>
        <v>81</v>
      </c>
      <c r="H8" s="298">
        <f t="shared" si="1"/>
        <v>0</v>
      </c>
      <c r="I8" s="299">
        <f t="shared" si="1"/>
        <v>0</v>
      </c>
      <c r="J8" s="301">
        <f t="shared" ref="J8:J71" si="2">IF($C8&lt;J$4,0,$C8-J$4)</f>
        <v>0</v>
      </c>
      <c r="K8" s="302"/>
      <c r="L8" s="303">
        <f t="shared" ref="L8:L71" si="3">-SUMPRODUCT($D$6:$J$6,D8:J8)</f>
        <v>-6963816.0237388723</v>
      </c>
      <c r="M8" s="299">
        <f>(-$L$6)/($C$308)*C8</f>
        <v>7219587.324539395</v>
      </c>
      <c r="N8" s="304">
        <f t="shared" ref="N8:N71" si="4">SUM(L8:M8)</f>
        <v>255771.30080052279</v>
      </c>
      <c r="O8" s="302"/>
      <c r="P8" s="305">
        <f>Données!AC8</f>
        <v>1722406</v>
      </c>
      <c r="Q8" s="297">
        <f>Données!AD8</f>
        <v>-71875</v>
      </c>
      <c r="R8" s="300">
        <f>SUM(P8:Q8)</f>
        <v>1650531</v>
      </c>
      <c r="S8" s="299">
        <f>-R8*$P$6</f>
        <v>-990318.6</v>
      </c>
      <c r="T8" s="300">
        <f>-$S$6/$C$308*C8</f>
        <v>1222074.4670280076</v>
      </c>
      <c r="U8" s="306">
        <f t="shared" ref="U8:U71" si="5">S8+T8</f>
        <v>231755.86702800763</v>
      </c>
    </row>
    <row r="9" spans="1:21" ht="15" customHeight="1" x14ac:dyDescent="0.25">
      <c r="A9" s="159">
        <f>Données!A9</f>
        <v>5402</v>
      </c>
      <c r="B9" s="160" t="str">
        <f>Données!B9</f>
        <v>Bex</v>
      </c>
      <c r="C9" s="307">
        <f>Données!C9</f>
        <v>8923</v>
      </c>
      <c r="D9" s="303">
        <f t="shared" si="0"/>
        <v>1000</v>
      </c>
      <c r="E9" s="303">
        <f t="shared" ref="E9:E72" si="6">IF(C9&lt;$E$4,0,IF(C9&gt;$E$5,$E$5-$E$4,C9-$E$4))</f>
        <v>2000</v>
      </c>
      <c r="F9" s="308">
        <f t="shared" ref="F9:I18" si="7">IF($C9&lt;F$4,0,IF($C9&gt;F$5,F$5-F$4,$C9-F$4))</f>
        <v>5923</v>
      </c>
      <c r="G9" s="302">
        <f t="shared" si="7"/>
        <v>0</v>
      </c>
      <c r="H9" s="303">
        <f t="shared" si="7"/>
        <v>0</v>
      </c>
      <c r="I9" s="308">
        <f t="shared" si="7"/>
        <v>0</v>
      </c>
      <c r="J9" s="309">
        <f t="shared" si="2"/>
        <v>0</v>
      </c>
      <c r="K9" s="302"/>
      <c r="L9" s="303">
        <f t="shared" si="3"/>
        <v>-4826875.618199802</v>
      </c>
      <c r="M9" s="308">
        <f t="shared" ref="M9:M72" si="8">(-$L$6)/($C$308)*C9</f>
        <v>5332371.301785036</v>
      </c>
      <c r="N9" s="310">
        <f t="shared" si="4"/>
        <v>505495.68358523399</v>
      </c>
      <c r="O9" s="302"/>
      <c r="P9" s="311">
        <f>Données!AC9</f>
        <v>814008</v>
      </c>
      <c r="Q9" s="307">
        <f>Données!AD9</f>
        <v>-33729</v>
      </c>
      <c r="R9" s="302">
        <f t="shared" ref="R9:R72" si="9">SUM(P9:Q9)</f>
        <v>780279</v>
      </c>
      <c r="S9" s="308">
        <f t="shared" ref="S9:S72" si="10">-R9*$P$6</f>
        <v>-468167.39999999997</v>
      </c>
      <c r="T9" s="302">
        <f t="shared" ref="T9:T72" si="11">-$S$6/$C$308*C9</f>
        <v>902621.51057784224</v>
      </c>
      <c r="U9" s="312">
        <f t="shared" si="5"/>
        <v>434454.11057784228</v>
      </c>
    </row>
    <row r="10" spans="1:21" x14ac:dyDescent="0.25">
      <c r="A10" s="159">
        <f>Données!A10</f>
        <v>5403</v>
      </c>
      <c r="B10" s="160" t="str">
        <f>Données!B10</f>
        <v>Chessel</v>
      </c>
      <c r="C10" s="307">
        <f>Données!C10</f>
        <v>525</v>
      </c>
      <c r="D10" s="303">
        <f t="shared" si="0"/>
        <v>525</v>
      </c>
      <c r="E10" s="303">
        <f t="shared" si="6"/>
        <v>0</v>
      </c>
      <c r="F10" s="308">
        <f t="shared" si="7"/>
        <v>0</v>
      </c>
      <c r="G10" s="302">
        <f t="shared" si="7"/>
        <v>0</v>
      </c>
      <c r="H10" s="303">
        <f t="shared" si="7"/>
        <v>0</v>
      </c>
      <c r="I10" s="308">
        <f t="shared" si="7"/>
        <v>0</v>
      </c>
      <c r="J10" s="309">
        <f t="shared" si="2"/>
        <v>0</v>
      </c>
      <c r="K10" s="302"/>
      <c r="L10" s="303">
        <f t="shared" si="3"/>
        <v>-69974.035608308608</v>
      </c>
      <c r="M10" s="308">
        <f t="shared" si="8"/>
        <v>313739.20580938522</v>
      </c>
      <c r="N10" s="310">
        <f t="shared" si="4"/>
        <v>243765.1702010766</v>
      </c>
      <c r="O10" s="302"/>
      <c r="P10" s="311" t="str">
        <f>Données!AC10</f>
        <v/>
      </c>
      <c r="Q10" s="307" t="str">
        <f>Données!AD10</f>
        <v/>
      </c>
      <c r="R10" s="302">
        <f t="shared" si="9"/>
        <v>0</v>
      </c>
      <c r="S10" s="308">
        <f t="shared" si="10"/>
        <v>0</v>
      </c>
      <c r="T10" s="302">
        <f t="shared" si="11"/>
        <v>53107.283767047767</v>
      </c>
      <c r="U10" s="312">
        <f t="shared" si="5"/>
        <v>53107.283767047767</v>
      </c>
    </row>
    <row r="11" spans="1:21" x14ac:dyDescent="0.25">
      <c r="A11" s="159">
        <f>Données!A11</f>
        <v>5404</v>
      </c>
      <c r="B11" s="160" t="str">
        <f>Données!B11</f>
        <v>Corbeyrier</v>
      </c>
      <c r="C11" s="307">
        <f>Données!C11</f>
        <v>456</v>
      </c>
      <c r="D11" s="303">
        <f t="shared" si="0"/>
        <v>456</v>
      </c>
      <c r="E11" s="303">
        <f t="shared" si="6"/>
        <v>0</v>
      </c>
      <c r="F11" s="308">
        <f t="shared" si="7"/>
        <v>0</v>
      </c>
      <c r="G11" s="302">
        <f t="shared" si="7"/>
        <v>0</v>
      </c>
      <c r="H11" s="303">
        <f t="shared" si="7"/>
        <v>0</v>
      </c>
      <c r="I11" s="308">
        <f t="shared" si="7"/>
        <v>0</v>
      </c>
      <c r="J11" s="309">
        <f t="shared" si="2"/>
        <v>0</v>
      </c>
      <c r="K11" s="302"/>
      <c r="L11" s="303">
        <f t="shared" si="3"/>
        <v>-60777.448071216611</v>
      </c>
      <c r="M11" s="308">
        <f t="shared" si="8"/>
        <v>272504.91018872312</v>
      </c>
      <c r="N11" s="310">
        <f t="shared" si="4"/>
        <v>211727.46211750651</v>
      </c>
      <c r="O11" s="302"/>
      <c r="P11" s="311" t="str">
        <f>Données!AC11</f>
        <v/>
      </c>
      <c r="Q11" s="307" t="str">
        <f>Données!AD11</f>
        <v/>
      </c>
      <c r="R11" s="302">
        <f t="shared" si="9"/>
        <v>0</v>
      </c>
      <c r="S11" s="308">
        <f t="shared" si="10"/>
        <v>0</v>
      </c>
      <c r="T11" s="302">
        <f t="shared" si="11"/>
        <v>46127.469329092914</v>
      </c>
      <c r="U11" s="312">
        <f t="shared" si="5"/>
        <v>46127.469329092914</v>
      </c>
    </row>
    <row r="12" spans="1:21" x14ac:dyDescent="0.25">
      <c r="A12" s="159">
        <f>Données!A12</f>
        <v>5405</v>
      </c>
      <c r="B12" s="160" t="str">
        <f>Données!B12</f>
        <v>Gryon</v>
      </c>
      <c r="C12" s="307">
        <f>Données!C12</f>
        <v>1546</v>
      </c>
      <c r="D12" s="303">
        <f t="shared" si="0"/>
        <v>1000</v>
      </c>
      <c r="E12" s="303">
        <f t="shared" si="6"/>
        <v>546</v>
      </c>
      <c r="F12" s="308">
        <f t="shared" si="7"/>
        <v>0</v>
      </c>
      <c r="G12" s="302">
        <f t="shared" si="7"/>
        <v>0</v>
      </c>
      <c r="H12" s="303">
        <f t="shared" si="7"/>
        <v>0</v>
      </c>
      <c r="I12" s="308">
        <f t="shared" si="7"/>
        <v>0</v>
      </c>
      <c r="J12" s="309">
        <f t="shared" si="2"/>
        <v>0</v>
      </c>
      <c r="K12" s="302"/>
      <c r="L12" s="303">
        <f t="shared" si="3"/>
        <v>-337048.26904055395</v>
      </c>
      <c r="M12" s="308">
        <f t="shared" si="8"/>
        <v>923887.26129773236</v>
      </c>
      <c r="N12" s="310">
        <f t="shared" si="4"/>
        <v>586838.99225717841</v>
      </c>
      <c r="O12" s="302"/>
      <c r="P12" s="311">
        <f>Données!AC12</f>
        <v>203681</v>
      </c>
      <c r="Q12" s="307">
        <f>Données!AD12</f>
        <v>0</v>
      </c>
      <c r="R12" s="302">
        <f t="shared" si="9"/>
        <v>203681</v>
      </c>
      <c r="S12" s="308">
        <f t="shared" si="10"/>
        <v>-122208.59999999999</v>
      </c>
      <c r="T12" s="302">
        <f t="shared" si="11"/>
        <v>156388.30610258257</v>
      </c>
      <c r="U12" s="312">
        <f t="shared" si="5"/>
        <v>34179.706102582582</v>
      </c>
    </row>
    <row r="13" spans="1:21" x14ac:dyDescent="0.25">
      <c r="A13" s="159">
        <f>Données!A13</f>
        <v>5406</v>
      </c>
      <c r="B13" s="160" t="str">
        <f>Données!B13</f>
        <v>Lavey-Morcles</v>
      </c>
      <c r="C13" s="307">
        <f>Données!C13</f>
        <v>1024</v>
      </c>
      <c r="D13" s="303">
        <f t="shared" si="0"/>
        <v>1000</v>
      </c>
      <c r="E13" s="303">
        <f t="shared" si="6"/>
        <v>24</v>
      </c>
      <c r="F13" s="308">
        <f t="shared" si="7"/>
        <v>0</v>
      </c>
      <c r="G13" s="302">
        <f t="shared" si="7"/>
        <v>0</v>
      </c>
      <c r="H13" s="303">
        <f t="shared" si="7"/>
        <v>0</v>
      </c>
      <c r="I13" s="308">
        <f t="shared" si="7"/>
        <v>0</v>
      </c>
      <c r="J13" s="309">
        <f t="shared" si="2"/>
        <v>0</v>
      </c>
      <c r="K13" s="302"/>
      <c r="L13" s="303">
        <f t="shared" si="3"/>
        <v>-142240.55390702275</v>
      </c>
      <c r="M13" s="308">
        <f t="shared" si="8"/>
        <v>611940.85095011513</v>
      </c>
      <c r="N13" s="310">
        <f t="shared" si="4"/>
        <v>469700.29704309237</v>
      </c>
      <c r="O13" s="302"/>
      <c r="P13" s="311" t="str">
        <f>Données!AC13</f>
        <v/>
      </c>
      <c r="Q13" s="307" t="str">
        <f>Données!AD13</f>
        <v/>
      </c>
      <c r="R13" s="302">
        <f t="shared" si="9"/>
        <v>0</v>
      </c>
      <c r="S13" s="308">
        <f t="shared" si="10"/>
        <v>0</v>
      </c>
      <c r="T13" s="302">
        <f t="shared" si="11"/>
        <v>103584.49252848935</v>
      </c>
      <c r="U13" s="312">
        <f t="shared" si="5"/>
        <v>103584.49252848935</v>
      </c>
    </row>
    <row r="14" spans="1:21" x14ac:dyDescent="0.25">
      <c r="A14" s="159">
        <f>Données!A14</f>
        <v>5407</v>
      </c>
      <c r="B14" s="160" t="str">
        <f>Données!B14</f>
        <v>Leysin</v>
      </c>
      <c r="C14" s="307">
        <f>Données!C14</f>
        <v>3722</v>
      </c>
      <c r="D14" s="303">
        <f t="shared" si="0"/>
        <v>1000</v>
      </c>
      <c r="E14" s="303">
        <f t="shared" si="6"/>
        <v>2000</v>
      </c>
      <c r="F14" s="308">
        <f t="shared" si="7"/>
        <v>722</v>
      </c>
      <c r="G14" s="302">
        <f t="shared" si="7"/>
        <v>0</v>
      </c>
      <c r="H14" s="303">
        <f t="shared" si="7"/>
        <v>0</v>
      </c>
      <c r="I14" s="308">
        <f t="shared" si="7"/>
        <v>0</v>
      </c>
      <c r="J14" s="309">
        <f t="shared" si="2"/>
        <v>0</v>
      </c>
      <c r="K14" s="302"/>
      <c r="L14" s="303">
        <f t="shared" si="3"/>
        <v>-1360828.3877349161</v>
      </c>
      <c r="M14" s="308">
        <f t="shared" si="8"/>
        <v>2224261.5695667272</v>
      </c>
      <c r="N14" s="310">
        <f t="shared" si="4"/>
        <v>863433.18183181109</v>
      </c>
      <c r="O14" s="302"/>
      <c r="P14" s="311" t="str">
        <f>Données!AC14</f>
        <v/>
      </c>
      <c r="Q14" s="307" t="str">
        <f>Données!AD14</f>
        <v/>
      </c>
      <c r="R14" s="302">
        <f t="shared" si="9"/>
        <v>0</v>
      </c>
      <c r="S14" s="308">
        <f t="shared" si="10"/>
        <v>0</v>
      </c>
      <c r="T14" s="302">
        <f t="shared" si="11"/>
        <v>376505.35272562242</v>
      </c>
      <c r="U14" s="312">
        <f t="shared" si="5"/>
        <v>376505.35272562242</v>
      </c>
    </row>
    <row r="15" spans="1:21" x14ac:dyDescent="0.25">
      <c r="A15" s="159">
        <f>Données!A15</f>
        <v>5408</v>
      </c>
      <c r="B15" s="160" t="str">
        <f>Données!B15</f>
        <v>Noville</v>
      </c>
      <c r="C15" s="307">
        <f>Données!C15</f>
        <v>1214</v>
      </c>
      <c r="D15" s="303">
        <f t="shared" si="0"/>
        <v>1000</v>
      </c>
      <c r="E15" s="303">
        <f t="shared" si="6"/>
        <v>214</v>
      </c>
      <c r="F15" s="308">
        <f t="shared" si="7"/>
        <v>0</v>
      </c>
      <c r="G15" s="302">
        <f t="shared" si="7"/>
        <v>0</v>
      </c>
      <c r="H15" s="303">
        <f t="shared" si="7"/>
        <v>0</v>
      </c>
      <c r="I15" s="308">
        <f t="shared" si="7"/>
        <v>0</v>
      </c>
      <c r="J15" s="309">
        <f t="shared" si="2"/>
        <v>0</v>
      </c>
      <c r="K15" s="302"/>
      <c r="L15" s="303">
        <f t="shared" si="3"/>
        <v>-213147.57665677546</v>
      </c>
      <c r="M15" s="308">
        <f t="shared" si="8"/>
        <v>725484.56352874974</v>
      </c>
      <c r="N15" s="310">
        <f t="shared" si="4"/>
        <v>512336.98687197431</v>
      </c>
      <c r="O15" s="302"/>
      <c r="P15" s="311" t="str">
        <f>Données!AC15</f>
        <v/>
      </c>
      <c r="Q15" s="307" t="str">
        <f>Données!AD15</f>
        <v/>
      </c>
      <c r="R15" s="302">
        <f t="shared" si="9"/>
        <v>0</v>
      </c>
      <c r="S15" s="308">
        <f t="shared" si="10"/>
        <v>0</v>
      </c>
      <c r="T15" s="302">
        <f t="shared" si="11"/>
        <v>122804.27141561141</v>
      </c>
      <c r="U15" s="312">
        <f t="shared" si="5"/>
        <v>122804.27141561141</v>
      </c>
    </row>
    <row r="16" spans="1:21" x14ac:dyDescent="0.25">
      <c r="A16" s="159">
        <f>Données!A16</f>
        <v>5409</v>
      </c>
      <c r="B16" s="160" t="str">
        <f>Données!B16</f>
        <v>Ollon</v>
      </c>
      <c r="C16" s="307">
        <f>Données!C16</f>
        <v>8302</v>
      </c>
      <c r="D16" s="303">
        <f t="shared" si="0"/>
        <v>1000</v>
      </c>
      <c r="E16" s="303">
        <f t="shared" si="6"/>
        <v>2000</v>
      </c>
      <c r="F16" s="308">
        <f t="shared" si="7"/>
        <v>5302</v>
      </c>
      <c r="G16" s="302">
        <f t="shared" si="7"/>
        <v>0</v>
      </c>
      <c r="H16" s="303">
        <f t="shared" si="7"/>
        <v>0</v>
      </c>
      <c r="I16" s="308">
        <f t="shared" si="7"/>
        <v>0</v>
      </c>
      <c r="J16" s="309">
        <f t="shared" si="2"/>
        <v>0</v>
      </c>
      <c r="K16" s="302"/>
      <c r="L16" s="303">
        <f t="shared" si="3"/>
        <v>-4413029.1790306624</v>
      </c>
      <c r="M16" s="308">
        <f t="shared" si="8"/>
        <v>4961262.6411990775</v>
      </c>
      <c r="N16" s="310">
        <f t="shared" si="4"/>
        <v>548233.46216841508</v>
      </c>
      <c r="O16" s="302"/>
      <c r="P16" s="311">
        <f>Données!AC16</f>
        <v>1112984</v>
      </c>
      <c r="Q16" s="307">
        <f>Données!AD16</f>
        <v>-39350</v>
      </c>
      <c r="R16" s="302">
        <f t="shared" si="9"/>
        <v>1073634</v>
      </c>
      <c r="S16" s="308">
        <f t="shared" si="10"/>
        <v>-644180.4</v>
      </c>
      <c r="T16" s="302">
        <f t="shared" si="11"/>
        <v>839803.18063624867</v>
      </c>
      <c r="U16" s="312">
        <f t="shared" si="5"/>
        <v>195622.78063624864</v>
      </c>
    </row>
    <row r="17" spans="1:21" x14ac:dyDescent="0.25">
      <c r="A17" s="159">
        <f>Données!A17</f>
        <v>5410</v>
      </c>
      <c r="B17" s="160" t="str">
        <f>Données!B17</f>
        <v>Ormont-Dessous</v>
      </c>
      <c r="C17" s="307">
        <f>Données!C17</f>
        <v>1261</v>
      </c>
      <c r="D17" s="303">
        <f t="shared" si="0"/>
        <v>1000</v>
      </c>
      <c r="E17" s="303">
        <f t="shared" si="6"/>
        <v>261</v>
      </c>
      <c r="F17" s="308">
        <f t="shared" si="7"/>
        <v>0</v>
      </c>
      <c r="G17" s="302">
        <f t="shared" si="7"/>
        <v>0</v>
      </c>
      <c r="H17" s="303">
        <f t="shared" si="7"/>
        <v>0</v>
      </c>
      <c r="I17" s="308">
        <f t="shared" si="7"/>
        <v>0</v>
      </c>
      <c r="J17" s="309">
        <f t="shared" si="2"/>
        <v>0</v>
      </c>
      <c r="K17" s="302"/>
      <c r="L17" s="303">
        <f t="shared" si="3"/>
        <v>-230687.73491592484</v>
      </c>
      <c r="M17" s="308">
        <f t="shared" si="8"/>
        <v>753571.69242978049</v>
      </c>
      <c r="N17" s="310">
        <f t="shared" si="4"/>
        <v>522883.95751385565</v>
      </c>
      <c r="O17" s="302"/>
      <c r="P17" s="311" t="str">
        <f>Données!AC17</f>
        <v/>
      </c>
      <c r="Q17" s="307" t="str">
        <f>Données!AD17</f>
        <v/>
      </c>
      <c r="R17" s="302">
        <f t="shared" si="9"/>
        <v>0</v>
      </c>
      <c r="S17" s="308">
        <f t="shared" si="10"/>
        <v>0</v>
      </c>
      <c r="T17" s="302">
        <f t="shared" si="11"/>
        <v>127558.63777189949</v>
      </c>
      <c r="U17" s="312">
        <f t="shared" si="5"/>
        <v>127558.63777189949</v>
      </c>
    </row>
    <row r="18" spans="1:21" x14ac:dyDescent="0.25">
      <c r="A18" s="159">
        <f>Données!A18</f>
        <v>5411</v>
      </c>
      <c r="B18" s="160" t="str">
        <f>Données!B18</f>
        <v>Ormont-Dessus</v>
      </c>
      <c r="C18" s="307">
        <f>Données!C18</f>
        <v>1440</v>
      </c>
      <c r="D18" s="303">
        <f t="shared" si="0"/>
        <v>1000</v>
      </c>
      <c r="E18" s="303">
        <f t="shared" si="6"/>
        <v>440</v>
      </c>
      <c r="F18" s="308">
        <f t="shared" si="7"/>
        <v>0</v>
      </c>
      <c r="G18" s="302">
        <f t="shared" si="7"/>
        <v>0</v>
      </c>
      <c r="H18" s="303">
        <f t="shared" si="7"/>
        <v>0</v>
      </c>
      <c r="I18" s="308">
        <f t="shared" si="7"/>
        <v>0</v>
      </c>
      <c r="J18" s="309">
        <f t="shared" si="2"/>
        <v>0</v>
      </c>
      <c r="K18" s="302"/>
      <c r="L18" s="303">
        <f t="shared" si="3"/>
        <v>-297489.61424332345</v>
      </c>
      <c r="M18" s="308">
        <f t="shared" si="8"/>
        <v>860541.82164859935</v>
      </c>
      <c r="N18" s="310">
        <f t="shared" si="4"/>
        <v>563052.2074052759</v>
      </c>
      <c r="O18" s="302"/>
      <c r="P18" s="311" t="str">
        <f>Données!AC18</f>
        <v/>
      </c>
      <c r="Q18" s="307" t="str">
        <f>Données!AD18</f>
        <v/>
      </c>
      <c r="R18" s="302">
        <f t="shared" si="9"/>
        <v>0</v>
      </c>
      <c r="S18" s="308">
        <f t="shared" si="10"/>
        <v>0</v>
      </c>
      <c r="T18" s="302">
        <f t="shared" si="11"/>
        <v>145665.69261818816</v>
      </c>
      <c r="U18" s="312">
        <f t="shared" si="5"/>
        <v>145665.69261818816</v>
      </c>
    </row>
    <row r="19" spans="1:21" x14ac:dyDescent="0.25">
      <c r="A19" s="159">
        <f>Données!A19</f>
        <v>5412</v>
      </c>
      <c r="B19" s="160" t="str">
        <f>Données!B19</f>
        <v>Rennaz</v>
      </c>
      <c r="C19" s="307">
        <f>Données!C19</f>
        <v>935</v>
      </c>
      <c r="D19" s="303">
        <f t="shared" si="0"/>
        <v>935</v>
      </c>
      <c r="E19" s="303">
        <f t="shared" si="6"/>
        <v>0</v>
      </c>
      <c r="F19" s="308">
        <f t="shared" ref="F19:I28" si="12">IF($C19&lt;F$4,0,IF($C19&gt;F$5,F$5-F$4,$C19-F$4))</f>
        <v>0</v>
      </c>
      <c r="G19" s="302">
        <f t="shared" si="12"/>
        <v>0</v>
      </c>
      <c r="H19" s="303">
        <f t="shared" si="12"/>
        <v>0</v>
      </c>
      <c r="I19" s="308">
        <f t="shared" si="12"/>
        <v>0</v>
      </c>
      <c r="J19" s="309">
        <f t="shared" si="2"/>
        <v>0</v>
      </c>
      <c r="K19" s="302"/>
      <c r="L19" s="303">
        <f t="shared" si="3"/>
        <v>-124620.42532146389</v>
      </c>
      <c r="M19" s="308">
        <f t="shared" si="8"/>
        <v>558754.58558433363</v>
      </c>
      <c r="N19" s="310">
        <f t="shared" si="4"/>
        <v>434134.16026286973</v>
      </c>
      <c r="O19" s="302"/>
      <c r="P19" s="311" t="str">
        <f>Données!AC19</f>
        <v/>
      </c>
      <c r="Q19" s="307" t="str">
        <f>Données!AD19</f>
        <v/>
      </c>
      <c r="R19" s="302">
        <f t="shared" si="9"/>
        <v>0</v>
      </c>
      <c r="S19" s="308">
        <f t="shared" si="10"/>
        <v>0</v>
      </c>
      <c r="T19" s="302">
        <f t="shared" si="11"/>
        <v>94581.543470837452</v>
      </c>
      <c r="U19" s="312">
        <f t="shared" si="5"/>
        <v>94581.543470837452</v>
      </c>
    </row>
    <row r="20" spans="1:21" x14ac:dyDescent="0.25">
      <c r="A20" s="159">
        <f>Données!A20</f>
        <v>5413</v>
      </c>
      <c r="B20" s="160" t="str">
        <f>Données!B20</f>
        <v>Roche</v>
      </c>
      <c r="C20" s="307">
        <f>Données!C20</f>
        <v>2035</v>
      </c>
      <c r="D20" s="303">
        <f t="shared" si="0"/>
        <v>1000</v>
      </c>
      <c r="E20" s="303">
        <f t="shared" si="6"/>
        <v>1035</v>
      </c>
      <c r="F20" s="308">
        <f t="shared" si="12"/>
        <v>0</v>
      </c>
      <c r="G20" s="302">
        <f t="shared" si="12"/>
        <v>0</v>
      </c>
      <c r="H20" s="303">
        <f t="shared" si="12"/>
        <v>0</v>
      </c>
      <c r="I20" s="308">
        <f t="shared" si="12"/>
        <v>0</v>
      </c>
      <c r="J20" s="309">
        <f t="shared" si="2"/>
        <v>0</v>
      </c>
      <c r="K20" s="302"/>
      <c r="L20" s="303">
        <f t="shared" si="3"/>
        <v>-519540.55390702281</v>
      </c>
      <c r="M20" s="308">
        <f t="shared" si="8"/>
        <v>1216112.9215659027</v>
      </c>
      <c r="N20" s="310">
        <f t="shared" si="4"/>
        <v>696572.36765887984</v>
      </c>
      <c r="O20" s="302"/>
      <c r="P20" s="311" t="str">
        <f>Données!AC20</f>
        <v/>
      </c>
      <c r="Q20" s="307" t="str">
        <f>Données!AD20</f>
        <v/>
      </c>
      <c r="R20" s="302">
        <f t="shared" si="9"/>
        <v>0</v>
      </c>
      <c r="S20" s="308">
        <f t="shared" si="10"/>
        <v>0</v>
      </c>
      <c r="T20" s="302">
        <f t="shared" si="11"/>
        <v>205853.94755417563</v>
      </c>
      <c r="U20" s="312">
        <f t="shared" si="5"/>
        <v>205853.94755417563</v>
      </c>
    </row>
    <row r="21" spans="1:21" x14ac:dyDescent="0.25">
      <c r="A21" s="159">
        <f>Données!A21</f>
        <v>5414</v>
      </c>
      <c r="B21" s="160" t="str">
        <f>Données!B21</f>
        <v>Villeneuve</v>
      </c>
      <c r="C21" s="307">
        <f>Données!C21</f>
        <v>6073</v>
      </c>
      <c r="D21" s="303">
        <f t="shared" si="0"/>
        <v>1000</v>
      </c>
      <c r="E21" s="303">
        <f t="shared" si="6"/>
        <v>2000</v>
      </c>
      <c r="F21" s="308">
        <f t="shared" si="12"/>
        <v>3073</v>
      </c>
      <c r="G21" s="302">
        <f t="shared" si="12"/>
        <v>0</v>
      </c>
      <c r="H21" s="303">
        <f t="shared" si="12"/>
        <v>0</v>
      </c>
      <c r="I21" s="308">
        <f t="shared" si="12"/>
        <v>0</v>
      </c>
      <c r="J21" s="309">
        <f t="shared" si="2"/>
        <v>0</v>
      </c>
      <c r="K21" s="302"/>
      <c r="L21" s="303">
        <f t="shared" si="3"/>
        <v>-2927580.3659742828</v>
      </c>
      <c r="M21" s="308">
        <f t="shared" si="8"/>
        <v>3629215.6131055169</v>
      </c>
      <c r="N21" s="310">
        <f t="shared" si="4"/>
        <v>701635.24713123403</v>
      </c>
      <c r="O21" s="302"/>
      <c r="P21" s="311">
        <f>Données!AC21</f>
        <v>923124.7</v>
      </c>
      <c r="Q21" s="307">
        <f>Données!AD21</f>
        <v>-158484.5</v>
      </c>
      <c r="R21" s="302">
        <f t="shared" si="9"/>
        <v>764640.2</v>
      </c>
      <c r="S21" s="308">
        <f t="shared" si="10"/>
        <v>-458784.11999999994</v>
      </c>
      <c r="T21" s="302">
        <f t="shared" si="11"/>
        <v>614324.82727101154</v>
      </c>
      <c r="U21" s="312">
        <f t="shared" si="5"/>
        <v>155540.7072710116</v>
      </c>
    </row>
    <row r="22" spans="1:21" x14ac:dyDescent="0.25">
      <c r="A22" s="159">
        <f>Données!A22</f>
        <v>5415</v>
      </c>
      <c r="B22" s="160" t="str">
        <f>Données!B22</f>
        <v>Yvorne</v>
      </c>
      <c r="C22" s="307">
        <f>Données!C22</f>
        <v>1119</v>
      </c>
      <c r="D22" s="303">
        <f t="shared" si="0"/>
        <v>1000</v>
      </c>
      <c r="E22" s="303">
        <f t="shared" si="6"/>
        <v>119</v>
      </c>
      <c r="F22" s="308">
        <f t="shared" si="12"/>
        <v>0</v>
      </c>
      <c r="G22" s="302">
        <f t="shared" si="12"/>
        <v>0</v>
      </c>
      <c r="H22" s="303">
        <f t="shared" si="12"/>
        <v>0</v>
      </c>
      <c r="I22" s="308">
        <f t="shared" si="12"/>
        <v>0</v>
      </c>
      <c r="J22" s="309">
        <f t="shared" si="2"/>
        <v>0</v>
      </c>
      <c r="K22" s="302"/>
      <c r="L22" s="303">
        <f t="shared" si="3"/>
        <v>-177694.06528189912</v>
      </c>
      <c r="M22" s="308">
        <f t="shared" si="8"/>
        <v>668712.70723943249</v>
      </c>
      <c r="N22" s="310">
        <f t="shared" si="4"/>
        <v>491018.64195753337</v>
      </c>
      <c r="O22" s="302"/>
      <c r="P22" s="311">
        <f>Données!AC22</f>
        <v>184050</v>
      </c>
      <c r="Q22" s="307">
        <f>Données!AD22</f>
        <v>-11645</v>
      </c>
      <c r="R22" s="302">
        <f t="shared" si="9"/>
        <v>172405</v>
      </c>
      <c r="S22" s="308">
        <f t="shared" si="10"/>
        <v>-103443</v>
      </c>
      <c r="T22" s="302">
        <f t="shared" si="11"/>
        <v>113194.38197205038</v>
      </c>
      <c r="U22" s="312">
        <f t="shared" si="5"/>
        <v>9751.3819720503816</v>
      </c>
    </row>
    <row r="23" spans="1:21" x14ac:dyDescent="0.25">
      <c r="A23" s="159">
        <f>Données!A23</f>
        <v>5422</v>
      </c>
      <c r="B23" s="160" t="str">
        <f>Données!B23</f>
        <v>Aubonne</v>
      </c>
      <c r="C23" s="307">
        <f>Données!C23</f>
        <v>3896</v>
      </c>
      <c r="D23" s="303">
        <f t="shared" si="0"/>
        <v>1000</v>
      </c>
      <c r="E23" s="303">
        <f t="shared" si="6"/>
        <v>2000</v>
      </c>
      <c r="F23" s="308">
        <f t="shared" si="12"/>
        <v>896</v>
      </c>
      <c r="G23" s="302">
        <f t="shared" si="12"/>
        <v>0</v>
      </c>
      <c r="H23" s="303">
        <f t="shared" si="12"/>
        <v>0</v>
      </c>
      <c r="I23" s="308">
        <f t="shared" si="12"/>
        <v>0</v>
      </c>
      <c r="J23" s="309">
        <f t="shared" si="2"/>
        <v>0</v>
      </c>
      <c r="K23" s="302"/>
      <c r="L23" s="303">
        <f t="shared" si="3"/>
        <v>-1476785.3610286845</v>
      </c>
      <c r="M23" s="308">
        <f t="shared" si="8"/>
        <v>2328243.7063492662</v>
      </c>
      <c r="N23" s="310">
        <f t="shared" si="4"/>
        <v>851458.34532058169</v>
      </c>
      <c r="O23" s="302"/>
      <c r="P23" s="311" t="str">
        <f>Données!AC23</f>
        <v/>
      </c>
      <c r="Q23" s="307" t="str">
        <f>Données!AD23</f>
        <v/>
      </c>
      <c r="R23" s="302">
        <f t="shared" si="9"/>
        <v>0</v>
      </c>
      <c r="S23" s="308">
        <f t="shared" si="10"/>
        <v>0</v>
      </c>
      <c r="T23" s="302">
        <f t="shared" si="11"/>
        <v>394106.62391698686</v>
      </c>
      <c r="U23" s="312">
        <f t="shared" si="5"/>
        <v>394106.62391698686</v>
      </c>
    </row>
    <row r="24" spans="1:21" x14ac:dyDescent="0.25">
      <c r="A24" s="159">
        <f>Données!A24</f>
        <v>5423</v>
      </c>
      <c r="B24" s="160" t="str">
        <f>Données!B24</f>
        <v>Ballens</v>
      </c>
      <c r="C24" s="307">
        <f>Données!C24</f>
        <v>580</v>
      </c>
      <c r="D24" s="303">
        <f t="shared" si="0"/>
        <v>580</v>
      </c>
      <c r="E24" s="303">
        <f t="shared" si="6"/>
        <v>0</v>
      </c>
      <c r="F24" s="308">
        <f t="shared" si="12"/>
        <v>0</v>
      </c>
      <c r="G24" s="302">
        <f t="shared" si="12"/>
        <v>0</v>
      </c>
      <c r="H24" s="303">
        <f t="shared" si="12"/>
        <v>0</v>
      </c>
      <c r="I24" s="308">
        <f t="shared" si="12"/>
        <v>0</v>
      </c>
      <c r="J24" s="309">
        <f t="shared" si="2"/>
        <v>0</v>
      </c>
      <c r="K24" s="302"/>
      <c r="L24" s="303">
        <f t="shared" si="3"/>
        <v>-77304.64886251236</v>
      </c>
      <c r="M24" s="308">
        <f t="shared" si="8"/>
        <v>346607.12260846363</v>
      </c>
      <c r="N24" s="310">
        <f t="shared" si="4"/>
        <v>269302.47374595125</v>
      </c>
      <c r="O24" s="302"/>
      <c r="P24" s="311" t="str">
        <f>Données!AC24</f>
        <v/>
      </c>
      <c r="Q24" s="307" t="str">
        <f>Données!AD24</f>
        <v/>
      </c>
      <c r="R24" s="302">
        <f t="shared" si="9"/>
        <v>0</v>
      </c>
      <c r="S24" s="308">
        <f t="shared" si="10"/>
        <v>0</v>
      </c>
      <c r="T24" s="302">
        <f t="shared" si="11"/>
        <v>58670.903971214677</v>
      </c>
      <c r="U24" s="312">
        <f t="shared" si="5"/>
        <v>58670.903971214677</v>
      </c>
    </row>
    <row r="25" spans="1:21" x14ac:dyDescent="0.25">
      <c r="A25" s="159">
        <f>Données!A25</f>
        <v>5424</v>
      </c>
      <c r="B25" s="160" t="str">
        <f>Données!B25</f>
        <v>Berolle</v>
      </c>
      <c r="C25" s="307">
        <f>Données!C25</f>
        <v>300</v>
      </c>
      <c r="D25" s="303">
        <f t="shared" si="0"/>
        <v>300</v>
      </c>
      <c r="E25" s="303">
        <f t="shared" si="6"/>
        <v>0</v>
      </c>
      <c r="F25" s="308">
        <f t="shared" si="12"/>
        <v>0</v>
      </c>
      <c r="G25" s="302">
        <f t="shared" si="12"/>
        <v>0</v>
      </c>
      <c r="H25" s="303">
        <f t="shared" si="12"/>
        <v>0</v>
      </c>
      <c r="I25" s="308">
        <f t="shared" si="12"/>
        <v>0</v>
      </c>
      <c r="J25" s="309">
        <f t="shared" si="2"/>
        <v>0</v>
      </c>
      <c r="K25" s="302"/>
      <c r="L25" s="303">
        <f t="shared" si="3"/>
        <v>-39985.163204747769</v>
      </c>
      <c r="M25" s="308">
        <f t="shared" si="8"/>
        <v>179279.54617679154</v>
      </c>
      <c r="N25" s="310">
        <f t="shared" si="4"/>
        <v>139294.38297204376</v>
      </c>
      <c r="O25" s="302"/>
      <c r="P25" s="311" t="str">
        <f>Données!AC25</f>
        <v/>
      </c>
      <c r="Q25" s="307" t="str">
        <f>Données!AD25</f>
        <v/>
      </c>
      <c r="R25" s="302">
        <f t="shared" si="9"/>
        <v>0</v>
      </c>
      <c r="S25" s="308">
        <f t="shared" si="10"/>
        <v>0</v>
      </c>
      <c r="T25" s="302">
        <f t="shared" si="11"/>
        <v>30347.019295455866</v>
      </c>
      <c r="U25" s="312">
        <f t="shared" si="5"/>
        <v>30347.019295455866</v>
      </c>
    </row>
    <row r="26" spans="1:21" x14ac:dyDescent="0.25">
      <c r="A26" s="159">
        <f>Données!A26</f>
        <v>5425</v>
      </c>
      <c r="B26" s="160" t="str">
        <f>Données!B26</f>
        <v>Bière</v>
      </c>
      <c r="C26" s="307">
        <f>Données!C26</f>
        <v>1701</v>
      </c>
      <c r="D26" s="303">
        <f t="shared" si="0"/>
        <v>1000</v>
      </c>
      <c r="E26" s="303">
        <f t="shared" si="6"/>
        <v>701</v>
      </c>
      <c r="F26" s="308">
        <f t="shared" si="12"/>
        <v>0</v>
      </c>
      <c r="G26" s="302">
        <f t="shared" si="12"/>
        <v>0</v>
      </c>
      <c r="H26" s="303">
        <f t="shared" si="12"/>
        <v>0</v>
      </c>
      <c r="I26" s="308">
        <f t="shared" si="12"/>
        <v>0</v>
      </c>
      <c r="J26" s="309">
        <f t="shared" si="2"/>
        <v>0</v>
      </c>
      <c r="K26" s="302"/>
      <c r="L26" s="303">
        <f t="shared" si="3"/>
        <v>-394893.47181008902</v>
      </c>
      <c r="M26" s="308">
        <f t="shared" si="8"/>
        <v>1016515.0268224081</v>
      </c>
      <c r="N26" s="310">
        <f t="shared" si="4"/>
        <v>621621.555012319</v>
      </c>
      <c r="O26" s="302"/>
      <c r="P26" s="311" t="str">
        <f>Données!AC26</f>
        <v/>
      </c>
      <c r="Q26" s="307" t="str">
        <f>Données!AD26</f>
        <v/>
      </c>
      <c r="R26" s="302">
        <f t="shared" si="9"/>
        <v>0</v>
      </c>
      <c r="S26" s="308">
        <f t="shared" si="10"/>
        <v>0</v>
      </c>
      <c r="T26" s="302">
        <f t="shared" si="11"/>
        <v>172067.59940523477</v>
      </c>
      <c r="U26" s="312">
        <f t="shared" si="5"/>
        <v>172067.59940523477</v>
      </c>
    </row>
    <row r="27" spans="1:21" x14ac:dyDescent="0.25">
      <c r="A27" s="159">
        <f>Données!A27</f>
        <v>5426</v>
      </c>
      <c r="B27" s="160" t="str">
        <f>Données!B27</f>
        <v>Bougy-Villars</v>
      </c>
      <c r="C27" s="307">
        <f>Données!C27</f>
        <v>493</v>
      </c>
      <c r="D27" s="303">
        <f t="shared" si="0"/>
        <v>493</v>
      </c>
      <c r="E27" s="303">
        <f t="shared" si="6"/>
        <v>0</v>
      </c>
      <c r="F27" s="308">
        <f t="shared" si="12"/>
        <v>0</v>
      </c>
      <c r="G27" s="302">
        <f t="shared" si="12"/>
        <v>0</v>
      </c>
      <c r="H27" s="303">
        <f t="shared" si="12"/>
        <v>0</v>
      </c>
      <c r="I27" s="308">
        <f t="shared" si="12"/>
        <v>0</v>
      </c>
      <c r="J27" s="309">
        <f t="shared" si="2"/>
        <v>0</v>
      </c>
      <c r="K27" s="302"/>
      <c r="L27" s="303">
        <f t="shared" si="3"/>
        <v>-65708.951533135507</v>
      </c>
      <c r="M27" s="308">
        <f t="shared" si="8"/>
        <v>294616.05421719409</v>
      </c>
      <c r="N27" s="310">
        <f t="shared" si="4"/>
        <v>228907.1026840586</v>
      </c>
      <c r="O27" s="302"/>
      <c r="P27" s="311" t="str">
        <f>Données!AC27</f>
        <v/>
      </c>
      <c r="Q27" s="307" t="str">
        <f>Données!AD27</f>
        <v/>
      </c>
      <c r="R27" s="302">
        <f t="shared" si="9"/>
        <v>0</v>
      </c>
      <c r="S27" s="308">
        <f t="shared" si="10"/>
        <v>0</v>
      </c>
      <c r="T27" s="302">
        <f t="shared" si="11"/>
        <v>49870.268375532469</v>
      </c>
      <c r="U27" s="312">
        <f t="shared" si="5"/>
        <v>49870.268375532469</v>
      </c>
    </row>
    <row r="28" spans="1:21" x14ac:dyDescent="0.25">
      <c r="A28" s="159">
        <f>Données!A28</f>
        <v>5427</v>
      </c>
      <c r="B28" s="160" t="str">
        <f>Données!B28</f>
        <v>Féchy</v>
      </c>
      <c r="C28" s="307">
        <f>Données!C28</f>
        <v>906</v>
      </c>
      <c r="D28" s="303">
        <f t="shared" si="0"/>
        <v>906</v>
      </c>
      <c r="E28" s="303">
        <f t="shared" si="6"/>
        <v>0</v>
      </c>
      <c r="F28" s="308">
        <f t="shared" si="12"/>
        <v>0</v>
      </c>
      <c r="G28" s="302">
        <f t="shared" si="12"/>
        <v>0</v>
      </c>
      <c r="H28" s="303">
        <f t="shared" si="12"/>
        <v>0</v>
      </c>
      <c r="I28" s="308">
        <f t="shared" si="12"/>
        <v>0</v>
      </c>
      <c r="J28" s="309">
        <f t="shared" si="2"/>
        <v>0</v>
      </c>
      <c r="K28" s="302"/>
      <c r="L28" s="303">
        <f t="shared" si="3"/>
        <v>-120755.19287833828</v>
      </c>
      <c r="M28" s="308">
        <f t="shared" si="8"/>
        <v>541424.22945391049</v>
      </c>
      <c r="N28" s="310">
        <f t="shared" si="4"/>
        <v>420669.03657557222</v>
      </c>
      <c r="O28" s="302"/>
      <c r="P28" s="311" t="str">
        <f>Données!AC28</f>
        <v/>
      </c>
      <c r="Q28" s="307" t="str">
        <f>Données!AD28</f>
        <v/>
      </c>
      <c r="R28" s="302">
        <f t="shared" si="9"/>
        <v>0</v>
      </c>
      <c r="S28" s="308">
        <f t="shared" si="10"/>
        <v>0</v>
      </c>
      <c r="T28" s="302">
        <f t="shared" si="11"/>
        <v>91647.998272276716</v>
      </c>
      <c r="U28" s="312">
        <f t="shared" si="5"/>
        <v>91647.998272276716</v>
      </c>
    </row>
    <row r="29" spans="1:21" x14ac:dyDescent="0.25">
      <c r="A29" s="159">
        <f>Données!A29</f>
        <v>5428</v>
      </c>
      <c r="B29" s="160" t="str">
        <f>Données!B29</f>
        <v>Gimel</v>
      </c>
      <c r="C29" s="307">
        <f>Données!C29</f>
        <v>2453</v>
      </c>
      <c r="D29" s="303">
        <f t="shared" si="0"/>
        <v>1000</v>
      </c>
      <c r="E29" s="303">
        <f t="shared" si="6"/>
        <v>1453</v>
      </c>
      <c r="F29" s="308">
        <f t="shared" ref="F29:I38" si="13">IF($C29&lt;F$4,0,IF($C29&gt;F$5,F$5-F$4,$C29-F$4))</f>
        <v>0</v>
      </c>
      <c r="G29" s="302">
        <f t="shared" si="13"/>
        <v>0</v>
      </c>
      <c r="H29" s="303">
        <f t="shared" si="13"/>
        <v>0</v>
      </c>
      <c r="I29" s="308">
        <f t="shared" si="13"/>
        <v>0</v>
      </c>
      <c r="J29" s="309">
        <f t="shared" si="2"/>
        <v>0</v>
      </c>
      <c r="K29" s="302"/>
      <c r="L29" s="303">
        <f t="shared" si="3"/>
        <v>-675536.00395647867</v>
      </c>
      <c r="M29" s="308">
        <f t="shared" si="8"/>
        <v>1465909.0892388988</v>
      </c>
      <c r="N29" s="310">
        <f t="shared" si="4"/>
        <v>790373.08528242016</v>
      </c>
      <c r="O29" s="302"/>
      <c r="P29" s="311" t="str">
        <f>Données!AC29</f>
        <v/>
      </c>
      <c r="Q29" s="307" t="str">
        <f>Données!AD29</f>
        <v/>
      </c>
      <c r="R29" s="302">
        <f t="shared" si="9"/>
        <v>0</v>
      </c>
      <c r="S29" s="308">
        <f t="shared" si="10"/>
        <v>0</v>
      </c>
      <c r="T29" s="302">
        <f t="shared" si="11"/>
        <v>248137.46110584412</v>
      </c>
      <c r="U29" s="312">
        <f t="shared" si="5"/>
        <v>248137.46110584412</v>
      </c>
    </row>
    <row r="30" spans="1:21" x14ac:dyDescent="0.25">
      <c r="A30" s="159">
        <f>Données!A30</f>
        <v>5429</v>
      </c>
      <c r="B30" s="160" t="str">
        <f>Données!B30</f>
        <v>Longirod</v>
      </c>
      <c r="C30" s="307">
        <f>Données!C30</f>
        <v>558</v>
      </c>
      <c r="D30" s="303">
        <f t="shared" si="0"/>
        <v>558</v>
      </c>
      <c r="E30" s="303">
        <f t="shared" si="6"/>
        <v>0</v>
      </c>
      <c r="F30" s="308">
        <f t="shared" si="13"/>
        <v>0</v>
      </c>
      <c r="G30" s="302">
        <f t="shared" si="13"/>
        <v>0</v>
      </c>
      <c r="H30" s="303">
        <f t="shared" si="13"/>
        <v>0</v>
      </c>
      <c r="I30" s="308">
        <f t="shared" si="13"/>
        <v>0</v>
      </c>
      <c r="J30" s="309">
        <f t="shared" si="2"/>
        <v>0</v>
      </c>
      <c r="K30" s="302"/>
      <c r="L30" s="303">
        <f t="shared" si="3"/>
        <v>-74372.403560830862</v>
      </c>
      <c r="M30" s="308">
        <f t="shared" si="8"/>
        <v>333459.95588883228</v>
      </c>
      <c r="N30" s="310">
        <f t="shared" si="4"/>
        <v>259087.55232800142</v>
      </c>
      <c r="O30" s="302"/>
      <c r="P30" s="311" t="str">
        <f>Données!AC30</f>
        <v/>
      </c>
      <c r="Q30" s="307" t="str">
        <f>Données!AD30</f>
        <v/>
      </c>
      <c r="R30" s="302">
        <f t="shared" si="9"/>
        <v>0</v>
      </c>
      <c r="S30" s="308">
        <f t="shared" si="10"/>
        <v>0</v>
      </c>
      <c r="T30" s="302">
        <f t="shared" si="11"/>
        <v>56445.455889547913</v>
      </c>
      <c r="U30" s="312">
        <f t="shared" si="5"/>
        <v>56445.455889547913</v>
      </c>
    </row>
    <row r="31" spans="1:21" x14ac:dyDescent="0.25">
      <c r="A31" s="159">
        <f>Données!A31</f>
        <v>5430</v>
      </c>
      <c r="B31" s="160" t="str">
        <f>Données!B31</f>
        <v>Marchissy</v>
      </c>
      <c r="C31" s="307">
        <f>Données!C31</f>
        <v>492</v>
      </c>
      <c r="D31" s="303">
        <f t="shared" si="0"/>
        <v>492</v>
      </c>
      <c r="E31" s="303">
        <f t="shared" si="6"/>
        <v>0</v>
      </c>
      <c r="F31" s="308">
        <f t="shared" si="13"/>
        <v>0</v>
      </c>
      <c r="G31" s="302">
        <f t="shared" si="13"/>
        <v>0</v>
      </c>
      <c r="H31" s="303">
        <f t="shared" si="13"/>
        <v>0</v>
      </c>
      <c r="I31" s="308">
        <f t="shared" si="13"/>
        <v>0</v>
      </c>
      <c r="J31" s="309">
        <f t="shared" si="2"/>
        <v>0</v>
      </c>
      <c r="K31" s="302"/>
      <c r="L31" s="303">
        <f t="shared" si="3"/>
        <v>-65575.667655786339</v>
      </c>
      <c r="M31" s="308">
        <f t="shared" si="8"/>
        <v>294018.45572993811</v>
      </c>
      <c r="N31" s="310">
        <f t="shared" si="4"/>
        <v>228442.78807415179</v>
      </c>
      <c r="O31" s="302"/>
      <c r="P31" s="311" t="str">
        <f>Données!AC31</f>
        <v/>
      </c>
      <c r="Q31" s="307" t="str">
        <f>Données!AD31</f>
        <v/>
      </c>
      <c r="R31" s="302">
        <f t="shared" si="9"/>
        <v>0</v>
      </c>
      <c r="S31" s="308">
        <f t="shared" si="10"/>
        <v>0</v>
      </c>
      <c r="T31" s="302">
        <f t="shared" si="11"/>
        <v>49769.111644547622</v>
      </c>
      <c r="U31" s="312">
        <f t="shared" si="5"/>
        <v>49769.111644547622</v>
      </c>
    </row>
    <row r="32" spans="1:21" x14ac:dyDescent="0.25">
      <c r="A32" s="159">
        <f>Données!A32</f>
        <v>5431</v>
      </c>
      <c r="B32" s="160" t="str">
        <f>Données!B32</f>
        <v>Mollens</v>
      </c>
      <c r="C32" s="307">
        <f>Données!C32</f>
        <v>320</v>
      </c>
      <c r="D32" s="303">
        <f t="shared" si="0"/>
        <v>320</v>
      </c>
      <c r="E32" s="303">
        <f t="shared" si="6"/>
        <v>0</v>
      </c>
      <c r="F32" s="308">
        <f t="shared" si="13"/>
        <v>0</v>
      </c>
      <c r="G32" s="302">
        <f t="shared" si="13"/>
        <v>0</v>
      </c>
      <c r="H32" s="303">
        <f t="shared" si="13"/>
        <v>0</v>
      </c>
      <c r="I32" s="308">
        <f t="shared" si="13"/>
        <v>0</v>
      </c>
      <c r="J32" s="309">
        <f t="shared" si="2"/>
        <v>0</v>
      </c>
      <c r="K32" s="302"/>
      <c r="L32" s="303">
        <f t="shared" si="3"/>
        <v>-42650.840751730953</v>
      </c>
      <c r="M32" s="308">
        <f t="shared" si="8"/>
        <v>191231.51592191099</v>
      </c>
      <c r="N32" s="310">
        <f t="shared" si="4"/>
        <v>148580.67517018004</v>
      </c>
      <c r="O32" s="302"/>
      <c r="P32" s="311" t="str">
        <f>Données!AC32</f>
        <v/>
      </c>
      <c r="Q32" s="307" t="str">
        <f>Données!AD32</f>
        <v/>
      </c>
      <c r="R32" s="302">
        <f t="shared" si="9"/>
        <v>0</v>
      </c>
      <c r="S32" s="308">
        <f t="shared" si="10"/>
        <v>0</v>
      </c>
      <c r="T32" s="302">
        <f t="shared" si="11"/>
        <v>32370.153915152921</v>
      </c>
      <c r="U32" s="312">
        <f t="shared" si="5"/>
        <v>32370.153915152921</v>
      </c>
    </row>
    <row r="33" spans="1:21" x14ac:dyDescent="0.25">
      <c r="A33" s="159">
        <f>Données!A33</f>
        <v>5434</v>
      </c>
      <c r="B33" s="160" t="str">
        <f>Données!B33</f>
        <v>Saint-George</v>
      </c>
      <c r="C33" s="307">
        <f>Données!C33</f>
        <v>1082</v>
      </c>
      <c r="D33" s="303">
        <f t="shared" si="0"/>
        <v>1000</v>
      </c>
      <c r="E33" s="303">
        <f t="shared" si="6"/>
        <v>82</v>
      </c>
      <c r="F33" s="308">
        <f t="shared" si="13"/>
        <v>0</v>
      </c>
      <c r="G33" s="302">
        <f t="shared" si="13"/>
        <v>0</v>
      </c>
      <c r="H33" s="303">
        <f t="shared" si="13"/>
        <v>0</v>
      </c>
      <c r="I33" s="308">
        <f t="shared" si="13"/>
        <v>0</v>
      </c>
      <c r="J33" s="309">
        <f t="shared" si="2"/>
        <v>0</v>
      </c>
      <c r="K33" s="302"/>
      <c r="L33" s="303">
        <f t="shared" si="3"/>
        <v>-163885.8555885262</v>
      </c>
      <c r="M33" s="308">
        <f t="shared" si="8"/>
        <v>646601.56321096153</v>
      </c>
      <c r="N33" s="310">
        <f t="shared" si="4"/>
        <v>482715.70762243529</v>
      </c>
      <c r="O33" s="302"/>
      <c r="P33" s="311" t="str">
        <f>Données!AC33</f>
        <v/>
      </c>
      <c r="Q33" s="307" t="str">
        <f>Données!AD33</f>
        <v/>
      </c>
      <c r="R33" s="302">
        <f t="shared" si="9"/>
        <v>0</v>
      </c>
      <c r="S33" s="308">
        <f t="shared" si="10"/>
        <v>0</v>
      </c>
      <c r="T33" s="302">
        <f t="shared" si="11"/>
        <v>109451.58292561083</v>
      </c>
      <c r="U33" s="312">
        <f t="shared" si="5"/>
        <v>109451.58292561083</v>
      </c>
    </row>
    <row r="34" spans="1:21" x14ac:dyDescent="0.25">
      <c r="A34" s="159">
        <f>Données!A34</f>
        <v>5435</v>
      </c>
      <c r="B34" s="160" t="str">
        <f>Données!B34</f>
        <v>Saint-Livres</v>
      </c>
      <c r="C34" s="307">
        <f>Données!C34</f>
        <v>708</v>
      </c>
      <c r="D34" s="303">
        <f t="shared" si="0"/>
        <v>708</v>
      </c>
      <c r="E34" s="303">
        <f t="shared" si="6"/>
        <v>0</v>
      </c>
      <c r="F34" s="308">
        <f t="shared" si="13"/>
        <v>0</v>
      </c>
      <c r="G34" s="302">
        <f t="shared" si="13"/>
        <v>0</v>
      </c>
      <c r="H34" s="303">
        <f t="shared" si="13"/>
        <v>0</v>
      </c>
      <c r="I34" s="308">
        <f t="shared" si="13"/>
        <v>0</v>
      </c>
      <c r="J34" s="309">
        <f t="shared" si="2"/>
        <v>0</v>
      </c>
      <c r="K34" s="302"/>
      <c r="L34" s="303">
        <f t="shared" si="3"/>
        <v>-94364.985163204736</v>
      </c>
      <c r="M34" s="308">
        <f t="shared" si="8"/>
        <v>423099.72897722805</v>
      </c>
      <c r="N34" s="310">
        <f t="shared" si="4"/>
        <v>328734.74381402333</v>
      </c>
      <c r="O34" s="302"/>
      <c r="P34" s="311" t="str">
        <f>Données!AC34</f>
        <v/>
      </c>
      <c r="Q34" s="307" t="str">
        <f>Données!AD34</f>
        <v/>
      </c>
      <c r="R34" s="302">
        <f t="shared" si="9"/>
        <v>0</v>
      </c>
      <c r="S34" s="308">
        <f t="shared" si="10"/>
        <v>0</v>
      </c>
      <c r="T34" s="302">
        <f t="shared" si="11"/>
        <v>71618.965537275843</v>
      </c>
      <c r="U34" s="312">
        <f t="shared" si="5"/>
        <v>71618.965537275843</v>
      </c>
    </row>
    <row r="35" spans="1:21" x14ac:dyDescent="0.25">
      <c r="A35" s="159">
        <f>Données!A35</f>
        <v>5436</v>
      </c>
      <c r="B35" s="160" t="str">
        <f>Données!B35</f>
        <v>Saint-Oyens</v>
      </c>
      <c r="C35" s="307">
        <f>Données!C35</f>
        <v>449</v>
      </c>
      <c r="D35" s="303">
        <f t="shared" si="0"/>
        <v>449</v>
      </c>
      <c r="E35" s="303">
        <f t="shared" si="6"/>
        <v>0</v>
      </c>
      <c r="F35" s="308">
        <f t="shared" si="13"/>
        <v>0</v>
      </c>
      <c r="G35" s="302">
        <f t="shared" si="13"/>
        <v>0</v>
      </c>
      <c r="H35" s="303">
        <f t="shared" si="13"/>
        <v>0</v>
      </c>
      <c r="I35" s="308">
        <f t="shared" si="13"/>
        <v>0</v>
      </c>
      <c r="J35" s="309">
        <f t="shared" si="2"/>
        <v>0</v>
      </c>
      <c r="K35" s="302"/>
      <c r="L35" s="303">
        <f t="shared" si="3"/>
        <v>-59844.460929772496</v>
      </c>
      <c r="M35" s="308">
        <f t="shared" si="8"/>
        <v>268321.72077793133</v>
      </c>
      <c r="N35" s="310">
        <f t="shared" si="4"/>
        <v>208477.25984815884</v>
      </c>
      <c r="O35" s="302"/>
      <c r="P35" s="311" t="str">
        <f>Données!AC35</f>
        <v/>
      </c>
      <c r="Q35" s="307" t="str">
        <f>Données!AD35</f>
        <v/>
      </c>
      <c r="R35" s="302">
        <f t="shared" si="9"/>
        <v>0</v>
      </c>
      <c r="S35" s="308">
        <f t="shared" si="10"/>
        <v>0</v>
      </c>
      <c r="T35" s="302">
        <f t="shared" si="11"/>
        <v>45419.372212198949</v>
      </c>
      <c r="U35" s="312">
        <f t="shared" si="5"/>
        <v>45419.372212198949</v>
      </c>
    </row>
    <row r="36" spans="1:21" x14ac:dyDescent="0.25">
      <c r="A36" s="159">
        <f>Données!A36</f>
        <v>5437</v>
      </c>
      <c r="B36" s="160" t="str">
        <f>Données!B36</f>
        <v>Saubraz</v>
      </c>
      <c r="C36" s="307">
        <f>Données!C36</f>
        <v>441</v>
      </c>
      <c r="D36" s="303">
        <f t="shared" si="0"/>
        <v>441</v>
      </c>
      <c r="E36" s="303">
        <f t="shared" si="6"/>
        <v>0</v>
      </c>
      <c r="F36" s="308">
        <f t="shared" si="13"/>
        <v>0</v>
      </c>
      <c r="G36" s="302">
        <f t="shared" si="13"/>
        <v>0</v>
      </c>
      <c r="H36" s="303">
        <f t="shared" si="13"/>
        <v>0</v>
      </c>
      <c r="I36" s="308">
        <f t="shared" si="13"/>
        <v>0</v>
      </c>
      <c r="J36" s="309">
        <f t="shared" si="2"/>
        <v>0</v>
      </c>
      <c r="K36" s="302"/>
      <c r="L36" s="303">
        <f t="shared" si="3"/>
        <v>-58778.189910979228</v>
      </c>
      <c r="M36" s="308">
        <f t="shared" si="8"/>
        <v>263540.93287988356</v>
      </c>
      <c r="N36" s="310">
        <f t="shared" si="4"/>
        <v>204762.74296890432</v>
      </c>
      <c r="O36" s="302"/>
      <c r="P36" s="311" t="str">
        <f>Données!AC36</f>
        <v/>
      </c>
      <c r="Q36" s="307" t="str">
        <f>Données!AD36</f>
        <v/>
      </c>
      <c r="R36" s="302">
        <f t="shared" si="9"/>
        <v>0</v>
      </c>
      <c r="S36" s="308">
        <f t="shared" si="10"/>
        <v>0</v>
      </c>
      <c r="T36" s="302">
        <f t="shared" si="11"/>
        <v>44610.118364320122</v>
      </c>
      <c r="U36" s="312">
        <f t="shared" si="5"/>
        <v>44610.118364320122</v>
      </c>
    </row>
    <row r="37" spans="1:21" x14ac:dyDescent="0.25">
      <c r="A37" s="159">
        <f>Données!A37</f>
        <v>5451</v>
      </c>
      <c r="B37" s="160" t="str">
        <f>Données!B37</f>
        <v>Avenches</v>
      </c>
      <c r="C37" s="307">
        <f>Données!C37</f>
        <v>4953</v>
      </c>
      <c r="D37" s="303">
        <f t="shared" si="0"/>
        <v>1000</v>
      </c>
      <c r="E37" s="303">
        <f t="shared" si="6"/>
        <v>2000</v>
      </c>
      <c r="F37" s="308">
        <f t="shared" si="13"/>
        <v>1953</v>
      </c>
      <c r="G37" s="302">
        <f t="shared" si="13"/>
        <v>0</v>
      </c>
      <c r="H37" s="303">
        <f t="shared" si="13"/>
        <v>0</v>
      </c>
      <c r="I37" s="308">
        <f t="shared" si="13"/>
        <v>0</v>
      </c>
      <c r="J37" s="309">
        <f t="shared" si="2"/>
        <v>0</v>
      </c>
      <c r="K37" s="302"/>
      <c r="L37" s="303">
        <f t="shared" si="3"/>
        <v>-2181190.6528189913</v>
      </c>
      <c r="M37" s="308">
        <f t="shared" si="8"/>
        <v>2959905.3073788285</v>
      </c>
      <c r="N37" s="310">
        <f t="shared" si="4"/>
        <v>778714.65455983719</v>
      </c>
      <c r="O37" s="302"/>
      <c r="P37" s="311">
        <f>Données!AC37</f>
        <v>357716</v>
      </c>
      <c r="Q37" s="307">
        <f>Données!AD37</f>
        <v>0</v>
      </c>
      <c r="R37" s="302">
        <f t="shared" si="9"/>
        <v>357716</v>
      </c>
      <c r="S37" s="308">
        <f t="shared" si="10"/>
        <v>-214629.6</v>
      </c>
      <c r="T37" s="302">
        <f t="shared" si="11"/>
        <v>501029.28856797633</v>
      </c>
      <c r="U37" s="312">
        <f t="shared" si="5"/>
        <v>286399.68856797635</v>
      </c>
    </row>
    <row r="38" spans="1:21" x14ac:dyDescent="0.25">
      <c r="A38" s="159">
        <f>Données!A38</f>
        <v>5456</v>
      </c>
      <c r="B38" s="160" t="str">
        <f>Données!B38</f>
        <v>Cudrefin</v>
      </c>
      <c r="C38" s="307">
        <f>Données!C38</f>
        <v>1915</v>
      </c>
      <c r="D38" s="303">
        <f t="shared" si="0"/>
        <v>1000</v>
      </c>
      <c r="E38" s="303">
        <f t="shared" si="6"/>
        <v>915</v>
      </c>
      <c r="F38" s="308">
        <f t="shared" si="13"/>
        <v>0</v>
      </c>
      <c r="G38" s="302">
        <f t="shared" si="13"/>
        <v>0</v>
      </c>
      <c r="H38" s="303">
        <f t="shared" si="13"/>
        <v>0</v>
      </c>
      <c r="I38" s="308">
        <f t="shared" si="13"/>
        <v>0</v>
      </c>
      <c r="J38" s="309">
        <f t="shared" si="2"/>
        <v>0</v>
      </c>
      <c r="K38" s="302"/>
      <c r="L38" s="303">
        <f t="shared" si="3"/>
        <v>-474757.17111770529</v>
      </c>
      <c r="M38" s="308">
        <f t="shared" si="8"/>
        <v>1144401.1030951859</v>
      </c>
      <c r="N38" s="310">
        <f t="shared" si="4"/>
        <v>669643.93197748065</v>
      </c>
      <c r="O38" s="302"/>
      <c r="P38" s="311" t="str">
        <f>Données!AC38</f>
        <v/>
      </c>
      <c r="Q38" s="307" t="str">
        <f>Données!AD38</f>
        <v/>
      </c>
      <c r="R38" s="302">
        <f t="shared" si="9"/>
        <v>0</v>
      </c>
      <c r="S38" s="308">
        <f t="shared" si="10"/>
        <v>0</v>
      </c>
      <c r="T38" s="302">
        <f t="shared" si="11"/>
        <v>193715.13983599326</v>
      </c>
      <c r="U38" s="312">
        <f t="shared" si="5"/>
        <v>193715.13983599326</v>
      </c>
    </row>
    <row r="39" spans="1:21" x14ac:dyDescent="0.25">
      <c r="A39" s="159">
        <f>Données!A39</f>
        <v>5458</v>
      </c>
      <c r="B39" s="160" t="str">
        <f>Données!B39</f>
        <v>Faoug</v>
      </c>
      <c r="C39" s="307">
        <f>Données!C39</f>
        <v>902</v>
      </c>
      <c r="D39" s="303">
        <f t="shared" si="0"/>
        <v>902</v>
      </c>
      <c r="E39" s="303">
        <f t="shared" si="6"/>
        <v>0</v>
      </c>
      <c r="F39" s="308">
        <f t="shared" ref="F39:I48" si="14">IF($C39&lt;F$4,0,IF($C39&gt;F$5,F$5-F$4,$C39-F$4))</f>
        <v>0</v>
      </c>
      <c r="G39" s="302">
        <f t="shared" si="14"/>
        <v>0</v>
      </c>
      <c r="H39" s="303">
        <f t="shared" si="14"/>
        <v>0</v>
      </c>
      <c r="I39" s="308">
        <f t="shared" si="14"/>
        <v>0</v>
      </c>
      <c r="J39" s="309">
        <f t="shared" si="2"/>
        <v>0</v>
      </c>
      <c r="K39" s="302"/>
      <c r="L39" s="303">
        <f t="shared" si="3"/>
        <v>-120222.05736894163</v>
      </c>
      <c r="M39" s="308">
        <f t="shared" si="8"/>
        <v>539033.83550488658</v>
      </c>
      <c r="N39" s="310">
        <f t="shared" si="4"/>
        <v>418811.77813594497</v>
      </c>
      <c r="O39" s="302"/>
      <c r="P39" s="311" t="str">
        <f>Données!AC39</f>
        <v/>
      </c>
      <c r="Q39" s="307" t="str">
        <f>Données!AD39</f>
        <v/>
      </c>
      <c r="R39" s="302">
        <f t="shared" si="9"/>
        <v>0</v>
      </c>
      <c r="S39" s="308">
        <f t="shared" si="10"/>
        <v>0</v>
      </c>
      <c r="T39" s="302">
        <f t="shared" si="11"/>
        <v>91243.371348337299</v>
      </c>
      <c r="U39" s="312">
        <f t="shared" si="5"/>
        <v>91243.371348337299</v>
      </c>
    </row>
    <row r="40" spans="1:21" x14ac:dyDescent="0.25">
      <c r="A40" s="159">
        <f>Données!A40</f>
        <v>5464</v>
      </c>
      <c r="B40" s="160" t="str">
        <f>Données!B40</f>
        <v>Vully-les-Lacs</v>
      </c>
      <c r="C40" s="307">
        <f>Données!C40</f>
        <v>3698</v>
      </c>
      <c r="D40" s="303">
        <f t="shared" si="0"/>
        <v>1000</v>
      </c>
      <c r="E40" s="303">
        <f t="shared" si="6"/>
        <v>2000</v>
      </c>
      <c r="F40" s="308">
        <f t="shared" si="14"/>
        <v>698</v>
      </c>
      <c r="G40" s="302">
        <f t="shared" si="14"/>
        <v>0</v>
      </c>
      <c r="H40" s="303">
        <f t="shared" si="14"/>
        <v>0</v>
      </c>
      <c r="I40" s="308">
        <f t="shared" si="14"/>
        <v>0</v>
      </c>
      <c r="J40" s="309">
        <f t="shared" si="2"/>
        <v>0</v>
      </c>
      <c r="K40" s="302"/>
      <c r="L40" s="303">
        <f t="shared" si="3"/>
        <v>-1344834.3224530169</v>
      </c>
      <c r="M40" s="308">
        <f t="shared" si="8"/>
        <v>2209919.2058725837</v>
      </c>
      <c r="N40" s="310">
        <f t="shared" si="4"/>
        <v>865084.88341956679</v>
      </c>
      <c r="O40" s="302"/>
      <c r="P40" s="311" t="str">
        <f>Données!AC40</f>
        <v/>
      </c>
      <c r="Q40" s="307" t="str">
        <f>Données!AD40</f>
        <v/>
      </c>
      <c r="R40" s="302">
        <f t="shared" si="9"/>
        <v>0</v>
      </c>
      <c r="S40" s="308">
        <f t="shared" si="10"/>
        <v>0</v>
      </c>
      <c r="T40" s="302">
        <f t="shared" si="11"/>
        <v>374077.59118198598</v>
      </c>
      <c r="U40" s="312">
        <f t="shared" si="5"/>
        <v>374077.59118198598</v>
      </c>
    </row>
    <row r="41" spans="1:21" x14ac:dyDescent="0.25">
      <c r="A41" s="159">
        <f>Données!A41</f>
        <v>5471</v>
      </c>
      <c r="B41" s="160" t="str">
        <f>Données!B41</f>
        <v>Bettens</v>
      </c>
      <c r="C41" s="307">
        <f>Données!C41</f>
        <v>652</v>
      </c>
      <c r="D41" s="303">
        <f t="shared" si="0"/>
        <v>652</v>
      </c>
      <c r="E41" s="303">
        <f t="shared" si="6"/>
        <v>0</v>
      </c>
      <c r="F41" s="308">
        <f t="shared" si="14"/>
        <v>0</v>
      </c>
      <c r="G41" s="302">
        <f t="shared" si="14"/>
        <v>0</v>
      </c>
      <c r="H41" s="303">
        <f t="shared" si="14"/>
        <v>0</v>
      </c>
      <c r="I41" s="308">
        <f t="shared" si="14"/>
        <v>0</v>
      </c>
      <c r="J41" s="309">
        <f t="shared" si="2"/>
        <v>0</v>
      </c>
      <c r="K41" s="302"/>
      <c r="L41" s="303">
        <f t="shared" si="3"/>
        <v>-86901.088031651831</v>
      </c>
      <c r="M41" s="308">
        <f t="shared" si="8"/>
        <v>389634.21369089361</v>
      </c>
      <c r="N41" s="310">
        <f t="shared" si="4"/>
        <v>302733.12565924181</v>
      </c>
      <c r="O41" s="302"/>
      <c r="P41" s="311" t="str">
        <f>Données!AC41</f>
        <v/>
      </c>
      <c r="Q41" s="307" t="str">
        <f>Données!AD41</f>
        <v/>
      </c>
      <c r="R41" s="302">
        <f t="shared" si="9"/>
        <v>0</v>
      </c>
      <c r="S41" s="308">
        <f t="shared" si="10"/>
        <v>0</v>
      </c>
      <c r="T41" s="302">
        <f t="shared" si="11"/>
        <v>65954.188602124079</v>
      </c>
      <c r="U41" s="312">
        <f t="shared" si="5"/>
        <v>65954.188602124079</v>
      </c>
    </row>
    <row r="42" spans="1:21" x14ac:dyDescent="0.25">
      <c r="A42" s="159">
        <f>Données!A42</f>
        <v>5472</v>
      </c>
      <c r="B42" s="160" t="str">
        <f>Données!B42</f>
        <v>Bournens</v>
      </c>
      <c r="C42" s="307">
        <f>Données!C42</f>
        <v>612</v>
      </c>
      <c r="D42" s="303">
        <f t="shared" si="0"/>
        <v>612</v>
      </c>
      <c r="E42" s="303">
        <f t="shared" si="6"/>
        <v>0</v>
      </c>
      <c r="F42" s="308">
        <f t="shared" si="14"/>
        <v>0</v>
      </c>
      <c r="G42" s="302">
        <f t="shared" si="14"/>
        <v>0</v>
      </c>
      <c r="H42" s="303">
        <f t="shared" si="14"/>
        <v>0</v>
      </c>
      <c r="I42" s="308">
        <f t="shared" si="14"/>
        <v>0</v>
      </c>
      <c r="J42" s="309">
        <f t="shared" si="2"/>
        <v>0</v>
      </c>
      <c r="K42" s="302"/>
      <c r="L42" s="303">
        <f t="shared" si="3"/>
        <v>-81569.732937685461</v>
      </c>
      <c r="M42" s="308">
        <f t="shared" si="8"/>
        <v>365730.27420065476</v>
      </c>
      <c r="N42" s="310">
        <f t="shared" si="4"/>
        <v>284160.54126296932</v>
      </c>
      <c r="O42" s="302"/>
      <c r="P42" s="311" t="str">
        <f>Données!AC42</f>
        <v/>
      </c>
      <c r="Q42" s="307" t="str">
        <f>Données!AD42</f>
        <v/>
      </c>
      <c r="R42" s="302">
        <f t="shared" si="9"/>
        <v>0</v>
      </c>
      <c r="S42" s="308">
        <f t="shared" si="10"/>
        <v>0</v>
      </c>
      <c r="T42" s="302">
        <f t="shared" si="11"/>
        <v>61907.919362729968</v>
      </c>
      <c r="U42" s="312">
        <f t="shared" si="5"/>
        <v>61907.919362729968</v>
      </c>
    </row>
    <row r="43" spans="1:21" x14ac:dyDescent="0.25">
      <c r="A43" s="159">
        <f>Données!A43</f>
        <v>5473</v>
      </c>
      <c r="B43" s="160" t="str">
        <f>Données!B43</f>
        <v>Boussens</v>
      </c>
      <c r="C43" s="307">
        <f>Données!C43</f>
        <v>1016</v>
      </c>
      <c r="D43" s="303">
        <f t="shared" si="0"/>
        <v>1000</v>
      </c>
      <c r="E43" s="303">
        <f t="shared" si="6"/>
        <v>16</v>
      </c>
      <c r="F43" s="308">
        <f t="shared" si="14"/>
        <v>0</v>
      </c>
      <c r="G43" s="302">
        <f t="shared" si="14"/>
        <v>0</v>
      </c>
      <c r="H43" s="303">
        <f t="shared" si="14"/>
        <v>0</v>
      </c>
      <c r="I43" s="308">
        <f t="shared" si="14"/>
        <v>0</v>
      </c>
      <c r="J43" s="309">
        <f t="shared" si="2"/>
        <v>0</v>
      </c>
      <c r="K43" s="302"/>
      <c r="L43" s="303">
        <f t="shared" si="3"/>
        <v>-139254.99505440157</v>
      </c>
      <c r="M43" s="308">
        <f t="shared" si="8"/>
        <v>607160.0630520673</v>
      </c>
      <c r="N43" s="310">
        <f t="shared" si="4"/>
        <v>467905.06799766573</v>
      </c>
      <c r="O43" s="302"/>
      <c r="P43" s="311" t="str">
        <f>Données!AC43</f>
        <v/>
      </c>
      <c r="Q43" s="307" t="str">
        <f>Données!AD43</f>
        <v/>
      </c>
      <c r="R43" s="302">
        <f t="shared" si="9"/>
        <v>0</v>
      </c>
      <c r="S43" s="308">
        <f t="shared" si="10"/>
        <v>0</v>
      </c>
      <c r="T43" s="302">
        <f t="shared" si="11"/>
        <v>102775.23868061054</v>
      </c>
      <c r="U43" s="312">
        <f t="shared" si="5"/>
        <v>102775.23868061054</v>
      </c>
    </row>
    <row r="44" spans="1:21" x14ac:dyDescent="0.25">
      <c r="A44" s="159">
        <f>Données!A44</f>
        <v>5474</v>
      </c>
      <c r="B44" s="160" t="str">
        <f>Données!B44</f>
        <v>La Chaux (Cossonay)</v>
      </c>
      <c r="C44" s="307">
        <f>Données!C44</f>
        <v>421</v>
      </c>
      <c r="D44" s="303">
        <f t="shared" si="0"/>
        <v>421</v>
      </c>
      <c r="E44" s="303">
        <f t="shared" si="6"/>
        <v>0</v>
      </c>
      <c r="F44" s="308">
        <f t="shared" si="14"/>
        <v>0</v>
      </c>
      <c r="G44" s="302">
        <f t="shared" si="14"/>
        <v>0</v>
      </c>
      <c r="H44" s="303">
        <f t="shared" si="14"/>
        <v>0</v>
      </c>
      <c r="I44" s="308">
        <f t="shared" si="14"/>
        <v>0</v>
      </c>
      <c r="J44" s="309">
        <f t="shared" si="2"/>
        <v>0</v>
      </c>
      <c r="K44" s="302"/>
      <c r="L44" s="303">
        <f t="shared" si="3"/>
        <v>-56112.512363996044</v>
      </c>
      <c r="M44" s="308">
        <f t="shared" si="8"/>
        <v>251588.96313476414</v>
      </c>
      <c r="N44" s="310">
        <f t="shared" si="4"/>
        <v>195476.4507707681</v>
      </c>
      <c r="O44" s="302"/>
      <c r="P44" s="311" t="str">
        <f>Données!AC44</f>
        <v/>
      </c>
      <c r="Q44" s="307" t="str">
        <f>Données!AD44</f>
        <v/>
      </c>
      <c r="R44" s="302">
        <f t="shared" si="9"/>
        <v>0</v>
      </c>
      <c r="S44" s="308">
        <f t="shared" si="10"/>
        <v>0</v>
      </c>
      <c r="T44" s="302">
        <f t="shared" si="11"/>
        <v>42586.983744623067</v>
      </c>
      <c r="U44" s="312">
        <f t="shared" si="5"/>
        <v>42586.983744623067</v>
      </c>
    </row>
    <row r="45" spans="1:21" x14ac:dyDescent="0.25">
      <c r="A45" s="159">
        <f>Données!A45</f>
        <v>5475</v>
      </c>
      <c r="B45" s="160" t="str">
        <f>Données!B45</f>
        <v>Chavannes-le-Veyron</v>
      </c>
      <c r="C45" s="307">
        <f>Données!C45</f>
        <v>160</v>
      </c>
      <c r="D45" s="303">
        <f t="shared" si="0"/>
        <v>160</v>
      </c>
      <c r="E45" s="303">
        <f t="shared" si="6"/>
        <v>0</v>
      </c>
      <c r="F45" s="308">
        <f t="shared" si="14"/>
        <v>0</v>
      </c>
      <c r="G45" s="302">
        <f t="shared" si="14"/>
        <v>0</v>
      </c>
      <c r="H45" s="303">
        <f t="shared" si="14"/>
        <v>0</v>
      </c>
      <c r="I45" s="308">
        <f t="shared" si="14"/>
        <v>0</v>
      </c>
      <c r="J45" s="309">
        <f t="shared" si="2"/>
        <v>0</v>
      </c>
      <c r="K45" s="302"/>
      <c r="L45" s="303">
        <f t="shared" si="3"/>
        <v>-21325.420375865477</v>
      </c>
      <c r="M45" s="308">
        <f t="shared" si="8"/>
        <v>95615.757960955496</v>
      </c>
      <c r="N45" s="310">
        <f t="shared" si="4"/>
        <v>74290.337585090019</v>
      </c>
      <c r="O45" s="302"/>
      <c r="P45" s="311" t="str">
        <f>Données!AC45</f>
        <v/>
      </c>
      <c r="Q45" s="307" t="str">
        <f>Données!AD45</f>
        <v/>
      </c>
      <c r="R45" s="302">
        <f t="shared" si="9"/>
        <v>0</v>
      </c>
      <c r="S45" s="308">
        <f t="shared" si="10"/>
        <v>0</v>
      </c>
      <c r="T45" s="302">
        <f t="shared" si="11"/>
        <v>16185.076957576461</v>
      </c>
      <c r="U45" s="312">
        <f t="shared" si="5"/>
        <v>16185.076957576461</v>
      </c>
    </row>
    <row r="46" spans="1:21" x14ac:dyDescent="0.25">
      <c r="A46" s="159">
        <f>Données!A46</f>
        <v>5476</v>
      </c>
      <c r="B46" s="160" t="str">
        <f>Données!B46</f>
        <v>Chevilly</v>
      </c>
      <c r="C46" s="307">
        <f>Données!C46</f>
        <v>345</v>
      </c>
      <c r="D46" s="303">
        <f t="shared" si="0"/>
        <v>345</v>
      </c>
      <c r="E46" s="303">
        <f t="shared" si="6"/>
        <v>0</v>
      </c>
      <c r="F46" s="308">
        <f t="shared" si="14"/>
        <v>0</v>
      </c>
      <c r="G46" s="302">
        <f t="shared" si="14"/>
        <v>0</v>
      </c>
      <c r="H46" s="303">
        <f t="shared" si="14"/>
        <v>0</v>
      </c>
      <c r="I46" s="308">
        <f t="shared" si="14"/>
        <v>0</v>
      </c>
      <c r="J46" s="309">
        <f t="shared" si="2"/>
        <v>0</v>
      </c>
      <c r="K46" s="302"/>
      <c r="L46" s="303">
        <f t="shared" si="3"/>
        <v>-45982.93768545994</v>
      </c>
      <c r="M46" s="308">
        <f t="shared" si="8"/>
        <v>206171.47810331028</v>
      </c>
      <c r="N46" s="310">
        <f t="shared" si="4"/>
        <v>160188.54041785034</v>
      </c>
      <c r="O46" s="302"/>
      <c r="P46" s="311" t="str">
        <f>Données!AC46</f>
        <v/>
      </c>
      <c r="Q46" s="307" t="str">
        <f>Données!AD46</f>
        <v/>
      </c>
      <c r="R46" s="302">
        <f t="shared" si="9"/>
        <v>0</v>
      </c>
      <c r="S46" s="308">
        <f t="shared" si="10"/>
        <v>0</v>
      </c>
      <c r="T46" s="302">
        <f t="shared" si="11"/>
        <v>34899.072189774248</v>
      </c>
      <c r="U46" s="312">
        <f t="shared" si="5"/>
        <v>34899.072189774248</v>
      </c>
    </row>
    <row r="47" spans="1:21" x14ac:dyDescent="0.25">
      <c r="A47" s="159">
        <f>Données!A47</f>
        <v>5477</v>
      </c>
      <c r="B47" s="160" t="str">
        <f>Données!B47</f>
        <v>Cossonay</v>
      </c>
      <c r="C47" s="307">
        <f>Données!C47</f>
        <v>4974</v>
      </c>
      <c r="D47" s="303">
        <f t="shared" si="0"/>
        <v>1000</v>
      </c>
      <c r="E47" s="303">
        <f t="shared" si="6"/>
        <v>2000</v>
      </c>
      <c r="F47" s="308">
        <f t="shared" si="14"/>
        <v>1974</v>
      </c>
      <c r="G47" s="302">
        <f t="shared" si="14"/>
        <v>0</v>
      </c>
      <c r="H47" s="303">
        <f t="shared" si="14"/>
        <v>0</v>
      </c>
      <c r="I47" s="308">
        <f t="shared" si="14"/>
        <v>0</v>
      </c>
      <c r="J47" s="309">
        <f t="shared" si="2"/>
        <v>0</v>
      </c>
      <c r="K47" s="302"/>
      <c r="L47" s="303">
        <f t="shared" si="3"/>
        <v>-2195185.4599406528</v>
      </c>
      <c r="M47" s="308">
        <f t="shared" si="8"/>
        <v>2972454.8756112037</v>
      </c>
      <c r="N47" s="310">
        <f t="shared" si="4"/>
        <v>777269.41567055089</v>
      </c>
      <c r="O47" s="302"/>
      <c r="P47" s="311" t="str">
        <f>Données!AC47</f>
        <v/>
      </c>
      <c r="Q47" s="307" t="str">
        <f>Données!AD47</f>
        <v/>
      </c>
      <c r="R47" s="302">
        <f t="shared" si="9"/>
        <v>0</v>
      </c>
      <c r="S47" s="308">
        <f t="shared" si="10"/>
        <v>0</v>
      </c>
      <c r="T47" s="302">
        <f t="shared" si="11"/>
        <v>503153.57991865824</v>
      </c>
      <c r="U47" s="312">
        <f t="shared" si="5"/>
        <v>503153.57991865824</v>
      </c>
    </row>
    <row r="48" spans="1:21" x14ac:dyDescent="0.25">
      <c r="A48" s="159">
        <f>Données!A48</f>
        <v>5479</v>
      </c>
      <c r="B48" s="160" t="str">
        <f>Données!B48</f>
        <v>Cuarnens</v>
      </c>
      <c r="C48" s="307">
        <f>Données!C48</f>
        <v>557</v>
      </c>
      <c r="D48" s="303">
        <f t="shared" si="0"/>
        <v>557</v>
      </c>
      <c r="E48" s="303">
        <f t="shared" si="6"/>
        <v>0</v>
      </c>
      <c r="F48" s="308">
        <f t="shared" si="14"/>
        <v>0</v>
      </c>
      <c r="G48" s="302">
        <f t="shared" si="14"/>
        <v>0</v>
      </c>
      <c r="H48" s="303">
        <f t="shared" si="14"/>
        <v>0</v>
      </c>
      <c r="I48" s="308">
        <f t="shared" si="14"/>
        <v>0</v>
      </c>
      <c r="J48" s="309">
        <f t="shared" si="2"/>
        <v>0</v>
      </c>
      <c r="K48" s="302"/>
      <c r="L48" s="303">
        <f t="shared" si="3"/>
        <v>-74239.119683481695</v>
      </c>
      <c r="M48" s="308">
        <f t="shared" si="8"/>
        <v>332862.3574015763</v>
      </c>
      <c r="N48" s="310">
        <f t="shared" si="4"/>
        <v>258623.23771809461</v>
      </c>
      <c r="O48" s="302"/>
      <c r="P48" s="311" t="str">
        <f>Données!AC48</f>
        <v/>
      </c>
      <c r="Q48" s="307" t="str">
        <f>Données!AD48</f>
        <v/>
      </c>
      <c r="R48" s="302">
        <f t="shared" si="9"/>
        <v>0</v>
      </c>
      <c r="S48" s="308">
        <f t="shared" si="10"/>
        <v>0</v>
      </c>
      <c r="T48" s="302">
        <f t="shared" si="11"/>
        <v>56344.299158563059</v>
      </c>
      <c r="U48" s="312">
        <f t="shared" si="5"/>
        <v>56344.299158563059</v>
      </c>
    </row>
    <row r="49" spans="1:21" x14ac:dyDescent="0.25">
      <c r="A49" s="159">
        <f>Données!A49</f>
        <v>5480</v>
      </c>
      <c r="B49" s="160" t="str">
        <f>Données!B49</f>
        <v>Daillens</v>
      </c>
      <c r="C49" s="307">
        <f>Données!C49</f>
        <v>1113</v>
      </c>
      <c r="D49" s="303">
        <f t="shared" si="0"/>
        <v>1000</v>
      </c>
      <c r="E49" s="303">
        <f t="shared" si="6"/>
        <v>113</v>
      </c>
      <c r="F49" s="308">
        <f t="shared" ref="F49:I58" si="15">IF($C49&lt;F$4,0,IF($C49&gt;F$5,F$5-F$4,$C49-F$4))</f>
        <v>0</v>
      </c>
      <c r="G49" s="302">
        <f t="shared" si="15"/>
        <v>0</v>
      </c>
      <c r="H49" s="303">
        <f t="shared" si="15"/>
        <v>0</v>
      </c>
      <c r="I49" s="308">
        <f t="shared" si="15"/>
        <v>0</v>
      </c>
      <c r="J49" s="309">
        <f t="shared" si="2"/>
        <v>0</v>
      </c>
      <c r="K49" s="302"/>
      <c r="L49" s="303">
        <f t="shared" si="3"/>
        <v>-175454.89614243322</v>
      </c>
      <c r="M49" s="308">
        <f t="shared" si="8"/>
        <v>665127.11631589662</v>
      </c>
      <c r="N49" s="310">
        <f t="shared" si="4"/>
        <v>489672.2201734634</v>
      </c>
      <c r="O49" s="302"/>
      <c r="P49" s="311" t="str">
        <f>Données!AC49</f>
        <v/>
      </c>
      <c r="Q49" s="307" t="str">
        <f>Données!AD49</f>
        <v/>
      </c>
      <c r="R49" s="302">
        <f t="shared" si="9"/>
        <v>0</v>
      </c>
      <c r="S49" s="308">
        <f t="shared" si="10"/>
        <v>0</v>
      </c>
      <c r="T49" s="302">
        <f t="shared" si="11"/>
        <v>112587.44158614126</v>
      </c>
      <c r="U49" s="312">
        <f t="shared" si="5"/>
        <v>112587.44158614126</v>
      </c>
    </row>
    <row r="50" spans="1:21" x14ac:dyDescent="0.25">
      <c r="A50" s="159">
        <f>Données!A50</f>
        <v>5481</v>
      </c>
      <c r="B50" s="160" t="str">
        <f>Données!B50</f>
        <v>Dizy</v>
      </c>
      <c r="C50" s="307">
        <f>Données!C50</f>
        <v>239</v>
      </c>
      <c r="D50" s="303">
        <f t="shared" si="0"/>
        <v>239</v>
      </c>
      <c r="E50" s="303">
        <f t="shared" si="6"/>
        <v>0</v>
      </c>
      <c r="F50" s="308">
        <f t="shared" si="15"/>
        <v>0</v>
      </c>
      <c r="G50" s="302">
        <f t="shared" si="15"/>
        <v>0</v>
      </c>
      <c r="H50" s="303">
        <f t="shared" si="15"/>
        <v>0</v>
      </c>
      <c r="I50" s="308">
        <f t="shared" si="15"/>
        <v>0</v>
      </c>
      <c r="J50" s="309">
        <f t="shared" si="2"/>
        <v>0</v>
      </c>
      <c r="K50" s="302"/>
      <c r="L50" s="303">
        <f t="shared" si="3"/>
        <v>-31854.846686449058</v>
      </c>
      <c r="M50" s="308">
        <f t="shared" si="8"/>
        <v>142826.03845417727</v>
      </c>
      <c r="N50" s="310">
        <f t="shared" si="4"/>
        <v>110971.1917677282</v>
      </c>
      <c r="O50" s="302"/>
      <c r="P50" s="311" t="str">
        <f>Données!AC50</f>
        <v/>
      </c>
      <c r="Q50" s="307" t="str">
        <f>Données!AD50</f>
        <v/>
      </c>
      <c r="R50" s="302">
        <f t="shared" si="9"/>
        <v>0</v>
      </c>
      <c r="S50" s="308">
        <f t="shared" si="10"/>
        <v>0</v>
      </c>
      <c r="T50" s="302">
        <f t="shared" si="11"/>
        <v>24176.458705379839</v>
      </c>
      <c r="U50" s="312">
        <f t="shared" si="5"/>
        <v>24176.458705379839</v>
      </c>
    </row>
    <row r="51" spans="1:21" x14ac:dyDescent="0.25">
      <c r="A51" s="159">
        <f>Données!A51</f>
        <v>5482</v>
      </c>
      <c r="B51" s="160" t="str">
        <f>Données!B51</f>
        <v>Eclépens</v>
      </c>
      <c r="C51" s="307">
        <f>Données!C51</f>
        <v>1202</v>
      </c>
      <c r="D51" s="303">
        <f t="shared" si="0"/>
        <v>1000</v>
      </c>
      <c r="E51" s="303">
        <f t="shared" si="6"/>
        <v>202</v>
      </c>
      <c r="F51" s="308">
        <f t="shared" si="15"/>
        <v>0</v>
      </c>
      <c r="G51" s="302">
        <f t="shared" si="15"/>
        <v>0</v>
      </c>
      <c r="H51" s="303">
        <f t="shared" si="15"/>
        <v>0</v>
      </c>
      <c r="I51" s="308">
        <f t="shared" si="15"/>
        <v>0</v>
      </c>
      <c r="J51" s="309">
        <f t="shared" si="2"/>
        <v>0</v>
      </c>
      <c r="K51" s="302"/>
      <c r="L51" s="303">
        <f t="shared" si="3"/>
        <v>-208669.23837784372</v>
      </c>
      <c r="M51" s="308">
        <f t="shared" si="8"/>
        <v>718313.38168167812</v>
      </c>
      <c r="N51" s="310">
        <f t="shared" si="4"/>
        <v>509644.14330383437</v>
      </c>
      <c r="O51" s="302"/>
      <c r="P51" s="311" t="str">
        <f>Données!AC51</f>
        <v/>
      </c>
      <c r="Q51" s="307" t="str">
        <f>Données!AD51</f>
        <v/>
      </c>
      <c r="R51" s="302">
        <f t="shared" si="9"/>
        <v>0</v>
      </c>
      <c r="S51" s="308">
        <f t="shared" si="10"/>
        <v>0</v>
      </c>
      <c r="T51" s="302">
        <f t="shared" si="11"/>
        <v>121590.39064379317</v>
      </c>
      <c r="U51" s="312">
        <f t="shared" si="5"/>
        <v>121590.39064379317</v>
      </c>
    </row>
    <row r="52" spans="1:21" x14ac:dyDescent="0.25">
      <c r="A52" s="159">
        <f>Données!A52</f>
        <v>5483</v>
      </c>
      <c r="B52" s="160" t="str">
        <f>Données!B52</f>
        <v>Ferreyres</v>
      </c>
      <c r="C52" s="307">
        <f>Données!C52</f>
        <v>308</v>
      </c>
      <c r="D52" s="303">
        <f t="shared" si="0"/>
        <v>308</v>
      </c>
      <c r="E52" s="303">
        <f t="shared" si="6"/>
        <v>0</v>
      </c>
      <c r="F52" s="308">
        <f t="shared" si="15"/>
        <v>0</v>
      </c>
      <c r="G52" s="302">
        <f t="shared" si="15"/>
        <v>0</v>
      </c>
      <c r="H52" s="303">
        <f t="shared" si="15"/>
        <v>0</v>
      </c>
      <c r="I52" s="308">
        <f t="shared" si="15"/>
        <v>0</v>
      </c>
      <c r="J52" s="309">
        <f t="shared" si="2"/>
        <v>0</v>
      </c>
      <c r="K52" s="302"/>
      <c r="L52" s="303">
        <f t="shared" si="3"/>
        <v>-41051.434223541044</v>
      </c>
      <c r="M52" s="308">
        <f t="shared" si="8"/>
        <v>184060.33407483931</v>
      </c>
      <c r="N52" s="310">
        <f t="shared" si="4"/>
        <v>143008.89985129825</v>
      </c>
      <c r="O52" s="302"/>
      <c r="P52" s="311" t="str">
        <f>Données!AC52</f>
        <v/>
      </c>
      <c r="Q52" s="307" t="str">
        <f>Données!AD52</f>
        <v/>
      </c>
      <c r="R52" s="302">
        <f t="shared" si="9"/>
        <v>0</v>
      </c>
      <c r="S52" s="308">
        <f t="shared" si="10"/>
        <v>0</v>
      </c>
      <c r="T52" s="302">
        <f t="shared" si="11"/>
        <v>31156.273143334689</v>
      </c>
      <c r="U52" s="312">
        <f t="shared" si="5"/>
        <v>31156.273143334689</v>
      </c>
    </row>
    <row r="53" spans="1:21" x14ac:dyDescent="0.25">
      <c r="A53" s="159">
        <f>Données!A53</f>
        <v>5484</v>
      </c>
      <c r="B53" s="160" t="str">
        <f>Données!B53</f>
        <v>Gollion</v>
      </c>
      <c r="C53" s="307">
        <f>Données!C53</f>
        <v>1091</v>
      </c>
      <c r="D53" s="303">
        <f t="shared" si="0"/>
        <v>1000</v>
      </c>
      <c r="E53" s="303">
        <f t="shared" si="6"/>
        <v>91</v>
      </c>
      <c r="F53" s="308">
        <f t="shared" si="15"/>
        <v>0</v>
      </c>
      <c r="G53" s="302">
        <f t="shared" si="15"/>
        <v>0</v>
      </c>
      <c r="H53" s="303">
        <f t="shared" si="15"/>
        <v>0</v>
      </c>
      <c r="I53" s="308">
        <f t="shared" si="15"/>
        <v>0</v>
      </c>
      <c r="J53" s="309">
        <f t="shared" si="2"/>
        <v>0</v>
      </c>
      <c r="K53" s="302"/>
      <c r="L53" s="303">
        <f t="shared" si="3"/>
        <v>-167244.60929772502</v>
      </c>
      <c r="M53" s="308">
        <f t="shared" si="8"/>
        <v>651979.94959626521</v>
      </c>
      <c r="N53" s="310">
        <f t="shared" si="4"/>
        <v>484735.34029854019</v>
      </c>
      <c r="O53" s="302"/>
      <c r="P53" s="311" t="str">
        <f>Données!AC53</f>
        <v/>
      </c>
      <c r="Q53" s="307" t="str">
        <f>Données!AD53</f>
        <v/>
      </c>
      <c r="R53" s="302">
        <f t="shared" si="9"/>
        <v>0</v>
      </c>
      <c r="S53" s="308">
        <f t="shared" si="10"/>
        <v>0</v>
      </c>
      <c r="T53" s="302">
        <f t="shared" si="11"/>
        <v>110361.99350447449</v>
      </c>
      <c r="U53" s="312">
        <f t="shared" si="5"/>
        <v>110361.99350447449</v>
      </c>
    </row>
    <row r="54" spans="1:21" x14ac:dyDescent="0.25">
      <c r="A54" s="159">
        <f>Données!A54</f>
        <v>5485</v>
      </c>
      <c r="B54" s="160" t="str">
        <f>Données!B54</f>
        <v>Grancy</v>
      </c>
      <c r="C54" s="307">
        <f>Données!C54</f>
        <v>541</v>
      </c>
      <c r="D54" s="303">
        <f t="shared" si="0"/>
        <v>541</v>
      </c>
      <c r="E54" s="303">
        <f t="shared" si="6"/>
        <v>0</v>
      </c>
      <c r="F54" s="308">
        <f t="shared" si="15"/>
        <v>0</v>
      </c>
      <c r="G54" s="302">
        <f t="shared" si="15"/>
        <v>0</v>
      </c>
      <c r="H54" s="303">
        <f t="shared" si="15"/>
        <v>0</v>
      </c>
      <c r="I54" s="308">
        <f t="shared" si="15"/>
        <v>0</v>
      </c>
      <c r="J54" s="309">
        <f t="shared" si="2"/>
        <v>0</v>
      </c>
      <c r="K54" s="302"/>
      <c r="L54" s="303">
        <f t="shared" si="3"/>
        <v>-72106.577645895144</v>
      </c>
      <c r="M54" s="308">
        <f t="shared" si="8"/>
        <v>323300.78160548076</v>
      </c>
      <c r="N54" s="310">
        <f t="shared" si="4"/>
        <v>251194.20395958563</v>
      </c>
      <c r="O54" s="302"/>
      <c r="P54" s="311" t="str">
        <f>Données!AC54</f>
        <v/>
      </c>
      <c r="Q54" s="307" t="str">
        <f>Données!AD54</f>
        <v/>
      </c>
      <c r="R54" s="302">
        <f t="shared" si="9"/>
        <v>0</v>
      </c>
      <c r="S54" s="308">
        <f t="shared" si="10"/>
        <v>0</v>
      </c>
      <c r="T54" s="302">
        <f t="shared" si="11"/>
        <v>54725.791462805413</v>
      </c>
      <c r="U54" s="312">
        <f t="shared" si="5"/>
        <v>54725.791462805413</v>
      </c>
    </row>
    <row r="55" spans="1:21" x14ac:dyDescent="0.25">
      <c r="A55" s="159">
        <f>Données!A55</f>
        <v>5486</v>
      </c>
      <c r="B55" s="160" t="str">
        <f>Données!B55</f>
        <v>L'Isle</v>
      </c>
      <c r="C55" s="307">
        <f>Données!C55</f>
        <v>1106</v>
      </c>
      <c r="D55" s="303">
        <f t="shared" si="0"/>
        <v>1000</v>
      </c>
      <c r="E55" s="303">
        <f t="shared" si="6"/>
        <v>106</v>
      </c>
      <c r="F55" s="308">
        <f t="shared" si="15"/>
        <v>0</v>
      </c>
      <c r="G55" s="302">
        <f t="shared" si="15"/>
        <v>0</v>
      </c>
      <c r="H55" s="303">
        <f t="shared" si="15"/>
        <v>0</v>
      </c>
      <c r="I55" s="308">
        <f t="shared" si="15"/>
        <v>0</v>
      </c>
      <c r="J55" s="309">
        <f t="shared" si="2"/>
        <v>0</v>
      </c>
      <c r="K55" s="302"/>
      <c r="L55" s="303">
        <f t="shared" si="3"/>
        <v>-172842.53214638971</v>
      </c>
      <c r="M55" s="308">
        <f t="shared" si="8"/>
        <v>660943.92690510477</v>
      </c>
      <c r="N55" s="310">
        <f t="shared" si="4"/>
        <v>488101.39475871506</v>
      </c>
      <c r="O55" s="302"/>
      <c r="P55" s="311" t="str">
        <f>Données!AC55</f>
        <v/>
      </c>
      <c r="Q55" s="307" t="str">
        <f>Données!AD55</f>
        <v/>
      </c>
      <c r="R55" s="302">
        <f t="shared" si="9"/>
        <v>0</v>
      </c>
      <c r="S55" s="308">
        <f t="shared" si="10"/>
        <v>0</v>
      </c>
      <c r="T55" s="302">
        <f t="shared" si="11"/>
        <v>111879.34446924728</v>
      </c>
      <c r="U55" s="312">
        <f t="shared" si="5"/>
        <v>111879.34446924728</v>
      </c>
    </row>
    <row r="56" spans="1:21" x14ac:dyDescent="0.25">
      <c r="A56" s="159">
        <f>Données!A56</f>
        <v>5487</v>
      </c>
      <c r="B56" s="160" t="str">
        <f>Données!B56</f>
        <v>Lussery-Villars</v>
      </c>
      <c r="C56" s="307">
        <f>Données!C56</f>
        <v>469</v>
      </c>
      <c r="D56" s="303">
        <f t="shared" si="0"/>
        <v>469</v>
      </c>
      <c r="E56" s="303">
        <f t="shared" si="6"/>
        <v>0</v>
      </c>
      <c r="F56" s="308">
        <f t="shared" si="15"/>
        <v>0</v>
      </c>
      <c r="G56" s="302">
        <f t="shared" si="15"/>
        <v>0</v>
      </c>
      <c r="H56" s="303">
        <f t="shared" si="15"/>
        <v>0</v>
      </c>
      <c r="I56" s="308">
        <f t="shared" si="15"/>
        <v>0</v>
      </c>
      <c r="J56" s="309">
        <f t="shared" si="2"/>
        <v>0</v>
      </c>
      <c r="K56" s="302"/>
      <c r="L56" s="303">
        <f t="shared" si="3"/>
        <v>-62510.138476755681</v>
      </c>
      <c r="M56" s="308">
        <f t="shared" si="8"/>
        <v>280273.69052305078</v>
      </c>
      <c r="N56" s="310">
        <f t="shared" si="4"/>
        <v>217763.55204629511</v>
      </c>
      <c r="O56" s="302"/>
      <c r="P56" s="311" t="str">
        <f>Données!AC56</f>
        <v/>
      </c>
      <c r="Q56" s="307" t="str">
        <f>Données!AD56</f>
        <v/>
      </c>
      <c r="R56" s="302">
        <f t="shared" si="9"/>
        <v>0</v>
      </c>
      <c r="S56" s="308">
        <f t="shared" si="10"/>
        <v>0</v>
      </c>
      <c r="T56" s="302">
        <f t="shared" si="11"/>
        <v>47442.506831896004</v>
      </c>
      <c r="U56" s="312">
        <f t="shared" si="5"/>
        <v>47442.506831896004</v>
      </c>
    </row>
    <row r="57" spans="1:21" x14ac:dyDescent="0.25">
      <c r="A57" s="159">
        <f>Données!A57</f>
        <v>5488</v>
      </c>
      <c r="B57" s="160" t="str">
        <f>Données!B57</f>
        <v>Mauraz</v>
      </c>
      <c r="C57" s="307">
        <f>Données!C57</f>
        <v>74</v>
      </c>
      <c r="D57" s="303">
        <f t="shared" si="0"/>
        <v>74</v>
      </c>
      <c r="E57" s="303">
        <f t="shared" si="6"/>
        <v>0</v>
      </c>
      <c r="F57" s="308">
        <f t="shared" si="15"/>
        <v>0</v>
      </c>
      <c r="G57" s="302">
        <f t="shared" si="15"/>
        <v>0</v>
      </c>
      <c r="H57" s="303">
        <f t="shared" si="15"/>
        <v>0</v>
      </c>
      <c r="I57" s="308">
        <f t="shared" si="15"/>
        <v>0</v>
      </c>
      <c r="J57" s="309">
        <f t="shared" si="2"/>
        <v>0</v>
      </c>
      <c r="K57" s="302"/>
      <c r="L57" s="303">
        <f t="shared" si="3"/>
        <v>-9863.0069238377837</v>
      </c>
      <c r="M57" s="308">
        <f t="shared" si="8"/>
        <v>44222.288056941914</v>
      </c>
      <c r="N57" s="310">
        <f t="shared" si="4"/>
        <v>34359.28113310413</v>
      </c>
      <c r="O57" s="302"/>
      <c r="P57" s="311" t="str">
        <f>Données!AC57</f>
        <v/>
      </c>
      <c r="Q57" s="307" t="str">
        <f>Données!AD57</f>
        <v/>
      </c>
      <c r="R57" s="302">
        <f t="shared" si="9"/>
        <v>0</v>
      </c>
      <c r="S57" s="308">
        <f t="shared" si="10"/>
        <v>0</v>
      </c>
      <c r="T57" s="302">
        <f t="shared" si="11"/>
        <v>7485.5980928791132</v>
      </c>
      <c r="U57" s="312">
        <f t="shared" si="5"/>
        <v>7485.5980928791132</v>
      </c>
    </row>
    <row r="58" spans="1:21" x14ac:dyDescent="0.25">
      <c r="A58" s="159">
        <f>Données!A58</f>
        <v>5489</v>
      </c>
      <c r="B58" s="160" t="str">
        <f>Données!B58</f>
        <v>Mex</v>
      </c>
      <c r="C58" s="307">
        <f>Données!C58</f>
        <v>828</v>
      </c>
      <c r="D58" s="303">
        <f t="shared" si="0"/>
        <v>828</v>
      </c>
      <c r="E58" s="303">
        <f t="shared" si="6"/>
        <v>0</v>
      </c>
      <c r="F58" s="308">
        <f t="shared" si="15"/>
        <v>0</v>
      </c>
      <c r="G58" s="302">
        <f t="shared" si="15"/>
        <v>0</v>
      </c>
      <c r="H58" s="303">
        <f t="shared" si="15"/>
        <v>0</v>
      </c>
      <c r="I58" s="308">
        <f t="shared" si="15"/>
        <v>0</v>
      </c>
      <c r="J58" s="309">
        <f t="shared" si="2"/>
        <v>0</v>
      </c>
      <c r="K58" s="302"/>
      <c r="L58" s="303">
        <f t="shared" si="3"/>
        <v>-110359.05044510386</v>
      </c>
      <c r="M58" s="308">
        <f t="shared" si="8"/>
        <v>494811.54744794464</v>
      </c>
      <c r="N58" s="310">
        <f t="shared" si="4"/>
        <v>384452.4970028408</v>
      </c>
      <c r="O58" s="302"/>
      <c r="P58" s="311" t="str">
        <f>Données!AC58</f>
        <v/>
      </c>
      <c r="Q58" s="307" t="str">
        <f>Données!AD58</f>
        <v/>
      </c>
      <c r="R58" s="302">
        <f t="shared" si="9"/>
        <v>0</v>
      </c>
      <c r="S58" s="308">
        <f t="shared" si="10"/>
        <v>0</v>
      </c>
      <c r="T58" s="302">
        <f t="shared" si="11"/>
        <v>83757.773255458189</v>
      </c>
      <c r="U58" s="312">
        <f t="shared" si="5"/>
        <v>83757.773255458189</v>
      </c>
    </row>
    <row r="59" spans="1:21" x14ac:dyDescent="0.25">
      <c r="A59" s="159">
        <f>Données!A59</f>
        <v>5490</v>
      </c>
      <c r="B59" s="160" t="str">
        <f>Données!B59</f>
        <v>Moiry</v>
      </c>
      <c r="C59" s="307">
        <f>Données!C59</f>
        <v>295</v>
      </c>
      <c r="D59" s="303">
        <f t="shared" si="0"/>
        <v>295</v>
      </c>
      <c r="E59" s="303">
        <f t="shared" si="6"/>
        <v>0</v>
      </c>
      <c r="F59" s="308">
        <f t="shared" ref="F59:I68" si="16">IF($C59&lt;F$4,0,IF($C59&gt;F$5,F$5-F$4,$C59-F$4))</f>
        <v>0</v>
      </c>
      <c r="G59" s="302">
        <f t="shared" si="16"/>
        <v>0</v>
      </c>
      <c r="H59" s="303">
        <f t="shared" si="16"/>
        <v>0</v>
      </c>
      <c r="I59" s="308">
        <f t="shared" si="16"/>
        <v>0</v>
      </c>
      <c r="J59" s="309">
        <f t="shared" si="2"/>
        <v>0</v>
      </c>
      <c r="K59" s="302"/>
      <c r="L59" s="303">
        <f t="shared" si="3"/>
        <v>-39318.743818001974</v>
      </c>
      <c r="M59" s="308">
        <f t="shared" si="8"/>
        <v>176291.55374051168</v>
      </c>
      <c r="N59" s="310">
        <f t="shared" si="4"/>
        <v>136972.80992250971</v>
      </c>
      <c r="O59" s="302"/>
      <c r="P59" s="311" t="str">
        <f>Données!AC59</f>
        <v/>
      </c>
      <c r="Q59" s="307" t="str">
        <f>Données!AD59</f>
        <v/>
      </c>
      <c r="R59" s="302">
        <f t="shared" si="9"/>
        <v>0</v>
      </c>
      <c r="S59" s="308">
        <f t="shared" si="10"/>
        <v>0</v>
      </c>
      <c r="T59" s="302">
        <f t="shared" si="11"/>
        <v>29841.235640531602</v>
      </c>
      <c r="U59" s="312">
        <f t="shared" si="5"/>
        <v>29841.235640531602</v>
      </c>
    </row>
    <row r="60" spans="1:21" x14ac:dyDescent="0.25">
      <c r="A60" s="159">
        <f>Données!A60</f>
        <v>5491</v>
      </c>
      <c r="B60" s="160" t="str">
        <f>Données!B60</f>
        <v>Mont-la-Ville</v>
      </c>
      <c r="C60" s="307">
        <f>Données!C60</f>
        <v>504</v>
      </c>
      <c r="D60" s="303">
        <f t="shared" si="0"/>
        <v>504</v>
      </c>
      <c r="E60" s="303">
        <f t="shared" si="6"/>
        <v>0</v>
      </c>
      <c r="F60" s="308">
        <f t="shared" si="16"/>
        <v>0</v>
      </c>
      <c r="G60" s="302">
        <f t="shared" si="16"/>
        <v>0</v>
      </c>
      <c r="H60" s="303">
        <f t="shared" si="16"/>
        <v>0</v>
      </c>
      <c r="I60" s="308">
        <f t="shared" si="16"/>
        <v>0</v>
      </c>
      <c r="J60" s="309">
        <f t="shared" si="2"/>
        <v>0</v>
      </c>
      <c r="K60" s="302"/>
      <c r="L60" s="303">
        <f t="shared" si="3"/>
        <v>-67175.074183976263</v>
      </c>
      <c r="M60" s="308">
        <f t="shared" si="8"/>
        <v>301189.63757700979</v>
      </c>
      <c r="N60" s="310">
        <f t="shared" si="4"/>
        <v>234014.56339303352</v>
      </c>
      <c r="O60" s="302"/>
      <c r="P60" s="311" t="str">
        <f>Données!AC60</f>
        <v/>
      </c>
      <c r="Q60" s="307" t="str">
        <f>Données!AD60</f>
        <v/>
      </c>
      <c r="R60" s="302">
        <f t="shared" si="9"/>
        <v>0</v>
      </c>
      <c r="S60" s="308">
        <f t="shared" si="10"/>
        <v>0</v>
      </c>
      <c r="T60" s="302">
        <f t="shared" si="11"/>
        <v>50982.992416365851</v>
      </c>
      <c r="U60" s="312">
        <f t="shared" si="5"/>
        <v>50982.992416365851</v>
      </c>
    </row>
    <row r="61" spans="1:21" x14ac:dyDescent="0.25">
      <c r="A61" s="159">
        <f>Données!A61</f>
        <v>5492</v>
      </c>
      <c r="B61" s="160" t="str">
        <f>Données!B61</f>
        <v>Montricher</v>
      </c>
      <c r="C61" s="307">
        <f>Données!C61</f>
        <v>947</v>
      </c>
      <c r="D61" s="303">
        <f t="shared" si="0"/>
        <v>947</v>
      </c>
      <c r="E61" s="303">
        <f t="shared" si="6"/>
        <v>0</v>
      </c>
      <c r="F61" s="308">
        <f t="shared" si="16"/>
        <v>0</v>
      </c>
      <c r="G61" s="302">
        <f t="shared" si="16"/>
        <v>0</v>
      </c>
      <c r="H61" s="303">
        <f t="shared" si="16"/>
        <v>0</v>
      </c>
      <c r="I61" s="308">
        <f t="shared" si="16"/>
        <v>0</v>
      </c>
      <c r="J61" s="309">
        <f t="shared" si="2"/>
        <v>0</v>
      </c>
      <c r="K61" s="302"/>
      <c r="L61" s="303">
        <f t="shared" si="3"/>
        <v>-126219.8318496538</v>
      </c>
      <c r="M61" s="308">
        <f t="shared" si="8"/>
        <v>565925.76743140526</v>
      </c>
      <c r="N61" s="310">
        <f t="shared" si="4"/>
        <v>439705.93558175146</v>
      </c>
      <c r="O61" s="302"/>
      <c r="P61" s="311" t="str">
        <f>Données!AC61</f>
        <v/>
      </c>
      <c r="Q61" s="307" t="str">
        <f>Données!AD61</f>
        <v/>
      </c>
      <c r="R61" s="302">
        <f t="shared" si="9"/>
        <v>0</v>
      </c>
      <c r="S61" s="308">
        <f t="shared" si="10"/>
        <v>0</v>
      </c>
      <c r="T61" s="302">
        <f t="shared" si="11"/>
        <v>95795.424242655688</v>
      </c>
      <c r="U61" s="312">
        <f t="shared" si="5"/>
        <v>95795.424242655688</v>
      </c>
    </row>
    <row r="62" spans="1:21" x14ac:dyDescent="0.25">
      <c r="A62" s="159">
        <f>Données!A62</f>
        <v>5493</v>
      </c>
      <c r="B62" s="160" t="str">
        <f>Données!B62</f>
        <v>Orny</v>
      </c>
      <c r="C62" s="307">
        <f>Données!C62</f>
        <v>525</v>
      </c>
      <c r="D62" s="303">
        <f t="shared" si="0"/>
        <v>525</v>
      </c>
      <c r="E62" s="303">
        <f t="shared" si="6"/>
        <v>0</v>
      </c>
      <c r="F62" s="308">
        <f t="shared" si="16"/>
        <v>0</v>
      </c>
      <c r="G62" s="302">
        <f t="shared" si="16"/>
        <v>0</v>
      </c>
      <c r="H62" s="303">
        <f t="shared" si="16"/>
        <v>0</v>
      </c>
      <c r="I62" s="308">
        <f t="shared" si="16"/>
        <v>0</v>
      </c>
      <c r="J62" s="309">
        <f t="shared" si="2"/>
        <v>0</v>
      </c>
      <c r="K62" s="302"/>
      <c r="L62" s="303">
        <f t="shared" si="3"/>
        <v>-69974.035608308608</v>
      </c>
      <c r="M62" s="308">
        <f t="shared" si="8"/>
        <v>313739.20580938522</v>
      </c>
      <c r="N62" s="310">
        <f t="shared" si="4"/>
        <v>243765.1702010766</v>
      </c>
      <c r="O62" s="302"/>
      <c r="P62" s="311" t="str">
        <f>Données!AC62</f>
        <v/>
      </c>
      <c r="Q62" s="307" t="str">
        <f>Données!AD62</f>
        <v/>
      </c>
      <c r="R62" s="302">
        <f t="shared" si="9"/>
        <v>0</v>
      </c>
      <c r="S62" s="308">
        <f t="shared" si="10"/>
        <v>0</v>
      </c>
      <c r="T62" s="302">
        <f t="shared" si="11"/>
        <v>53107.283767047767</v>
      </c>
      <c r="U62" s="312">
        <f t="shared" si="5"/>
        <v>53107.283767047767</v>
      </c>
    </row>
    <row r="63" spans="1:21" x14ac:dyDescent="0.25">
      <c r="A63" s="159">
        <f>Données!A63</f>
        <v>5495</v>
      </c>
      <c r="B63" s="160" t="str">
        <f>Données!B63</f>
        <v>Penthalaz</v>
      </c>
      <c r="C63" s="307">
        <f>Données!C63</f>
        <v>3199</v>
      </c>
      <c r="D63" s="303">
        <f t="shared" si="0"/>
        <v>1000</v>
      </c>
      <c r="E63" s="303">
        <f t="shared" si="6"/>
        <v>2000</v>
      </c>
      <c r="F63" s="308">
        <f t="shared" si="16"/>
        <v>199</v>
      </c>
      <c r="G63" s="302">
        <f t="shared" si="16"/>
        <v>0</v>
      </c>
      <c r="H63" s="303">
        <f t="shared" si="16"/>
        <v>0</v>
      </c>
      <c r="I63" s="308">
        <f t="shared" si="16"/>
        <v>0</v>
      </c>
      <c r="J63" s="309">
        <f t="shared" si="2"/>
        <v>0</v>
      </c>
      <c r="K63" s="302"/>
      <c r="L63" s="303">
        <f t="shared" si="3"/>
        <v>-1012291.0484668645</v>
      </c>
      <c r="M63" s="308">
        <f t="shared" si="8"/>
        <v>1911717.5607318538</v>
      </c>
      <c r="N63" s="310">
        <f t="shared" si="4"/>
        <v>899426.51226498932</v>
      </c>
      <c r="O63" s="302"/>
      <c r="P63" s="311" t="str">
        <f>Données!AC63</f>
        <v/>
      </c>
      <c r="Q63" s="307" t="str">
        <f>Données!AD63</f>
        <v/>
      </c>
      <c r="R63" s="302">
        <f t="shared" si="9"/>
        <v>0</v>
      </c>
      <c r="S63" s="308">
        <f t="shared" si="10"/>
        <v>0</v>
      </c>
      <c r="T63" s="302">
        <f t="shared" si="11"/>
        <v>323600.3824205444</v>
      </c>
      <c r="U63" s="312">
        <f t="shared" si="5"/>
        <v>323600.3824205444</v>
      </c>
    </row>
    <row r="64" spans="1:21" x14ac:dyDescent="0.25">
      <c r="A64" s="159">
        <f>Données!A64</f>
        <v>5496</v>
      </c>
      <c r="B64" s="160" t="str">
        <f>Données!B64</f>
        <v>Penthaz</v>
      </c>
      <c r="C64" s="307">
        <f>Données!C64</f>
        <v>1910</v>
      </c>
      <c r="D64" s="303">
        <f t="shared" si="0"/>
        <v>1000</v>
      </c>
      <c r="E64" s="303">
        <f t="shared" si="6"/>
        <v>910</v>
      </c>
      <c r="F64" s="308">
        <f t="shared" si="16"/>
        <v>0</v>
      </c>
      <c r="G64" s="302">
        <f t="shared" si="16"/>
        <v>0</v>
      </c>
      <c r="H64" s="303">
        <f t="shared" si="16"/>
        <v>0</v>
      </c>
      <c r="I64" s="308">
        <f t="shared" si="16"/>
        <v>0</v>
      </c>
      <c r="J64" s="309">
        <f t="shared" si="2"/>
        <v>0</v>
      </c>
      <c r="K64" s="302"/>
      <c r="L64" s="303">
        <f t="shared" si="3"/>
        <v>-472891.19683481706</v>
      </c>
      <c r="M64" s="308">
        <f t="shared" si="8"/>
        <v>1141413.1106589062</v>
      </c>
      <c r="N64" s="310">
        <f t="shared" si="4"/>
        <v>668521.9138240891</v>
      </c>
      <c r="O64" s="302"/>
      <c r="P64" s="311" t="str">
        <f>Données!AC64</f>
        <v/>
      </c>
      <c r="Q64" s="307" t="str">
        <f>Données!AD64</f>
        <v/>
      </c>
      <c r="R64" s="302">
        <f t="shared" si="9"/>
        <v>0</v>
      </c>
      <c r="S64" s="308">
        <f t="shared" si="10"/>
        <v>0</v>
      </c>
      <c r="T64" s="302">
        <f t="shared" si="11"/>
        <v>193209.35618106902</v>
      </c>
      <c r="U64" s="312">
        <f t="shared" si="5"/>
        <v>193209.35618106902</v>
      </c>
    </row>
    <row r="65" spans="1:21" x14ac:dyDescent="0.25">
      <c r="A65" s="159">
        <f>Données!A65</f>
        <v>5497</v>
      </c>
      <c r="B65" s="160" t="str">
        <f>Données!B65</f>
        <v>Pompaples</v>
      </c>
      <c r="C65" s="307">
        <f>Données!C65</f>
        <v>917</v>
      </c>
      <c r="D65" s="303">
        <f t="shared" si="0"/>
        <v>917</v>
      </c>
      <c r="E65" s="303">
        <f t="shared" si="6"/>
        <v>0</v>
      </c>
      <c r="F65" s="308">
        <f t="shared" si="16"/>
        <v>0</v>
      </c>
      <c r="G65" s="302">
        <f t="shared" si="16"/>
        <v>0</v>
      </c>
      <c r="H65" s="303">
        <f t="shared" si="16"/>
        <v>0</v>
      </c>
      <c r="I65" s="308">
        <f t="shared" si="16"/>
        <v>0</v>
      </c>
      <c r="J65" s="309">
        <f t="shared" si="2"/>
        <v>0</v>
      </c>
      <c r="K65" s="302"/>
      <c r="L65" s="303">
        <f t="shared" si="3"/>
        <v>-122221.31552917902</v>
      </c>
      <c r="M65" s="308">
        <f t="shared" si="8"/>
        <v>547997.81281372614</v>
      </c>
      <c r="N65" s="310">
        <f t="shared" si="4"/>
        <v>425776.49728454713</v>
      </c>
      <c r="O65" s="302"/>
      <c r="P65" s="311" t="str">
        <f>Données!AC65</f>
        <v/>
      </c>
      <c r="Q65" s="307" t="str">
        <f>Données!AD65</f>
        <v/>
      </c>
      <c r="R65" s="302">
        <f t="shared" si="9"/>
        <v>0</v>
      </c>
      <c r="S65" s="308">
        <f t="shared" si="10"/>
        <v>0</v>
      </c>
      <c r="T65" s="302">
        <f t="shared" si="11"/>
        <v>92760.722313110091</v>
      </c>
      <c r="U65" s="312">
        <f t="shared" si="5"/>
        <v>92760.722313110091</v>
      </c>
    </row>
    <row r="66" spans="1:21" x14ac:dyDescent="0.25">
      <c r="A66" s="159">
        <f>Données!A66</f>
        <v>5498</v>
      </c>
      <c r="B66" s="160" t="str">
        <f>Données!B66</f>
        <v>La Sarraz</v>
      </c>
      <c r="C66" s="307">
        <f>Données!C66</f>
        <v>2609</v>
      </c>
      <c r="D66" s="303">
        <f t="shared" si="0"/>
        <v>1000</v>
      </c>
      <c r="E66" s="303">
        <f t="shared" si="6"/>
        <v>1609</v>
      </c>
      <c r="F66" s="308">
        <f t="shared" si="16"/>
        <v>0</v>
      </c>
      <c r="G66" s="302">
        <f t="shared" si="16"/>
        <v>0</v>
      </c>
      <c r="H66" s="303">
        <f t="shared" si="16"/>
        <v>0</v>
      </c>
      <c r="I66" s="308">
        <f t="shared" si="16"/>
        <v>0</v>
      </c>
      <c r="J66" s="309">
        <f t="shared" si="2"/>
        <v>0</v>
      </c>
      <c r="K66" s="302"/>
      <c r="L66" s="303">
        <f t="shared" si="3"/>
        <v>-733754.40158259147</v>
      </c>
      <c r="M66" s="308">
        <f t="shared" si="8"/>
        <v>1559134.4532508305</v>
      </c>
      <c r="N66" s="310">
        <f t="shared" si="4"/>
        <v>825380.05166823906</v>
      </c>
      <c r="O66" s="302"/>
      <c r="P66" s="311" t="str">
        <f>Données!AC66</f>
        <v/>
      </c>
      <c r="Q66" s="307" t="str">
        <f>Données!AD66</f>
        <v/>
      </c>
      <c r="R66" s="302">
        <f t="shared" si="9"/>
        <v>0</v>
      </c>
      <c r="S66" s="308">
        <f t="shared" si="10"/>
        <v>0</v>
      </c>
      <c r="T66" s="302">
        <f t="shared" si="11"/>
        <v>263917.91113948118</v>
      </c>
      <c r="U66" s="312">
        <f t="shared" si="5"/>
        <v>263917.91113948118</v>
      </c>
    </row>
    <row r="67" spans="1:21" x14ac:dyDescent="0.25">
      <c r="A67" s="159">
        <f>Données!A67</f>
        <v>5499</v>
      </c>
      <c r="B67" s="160" t="str">
        <f>Données!B67</f>
        <v>Senarclens</v>
      </c>
      <c r="C67" s="307">
        <f>Données!C67</f>
        <v>505</v>
      </c>
      <c r="D67" s="303">
        <f t="shared" si="0"/>
        <v>505</v>
      </c>
      <c r="E67" s="303">
        <f t="shared" si="6"/>
        <v>0</v>
      </c>
      <c r="F67" s="308">
        <f t="shared" si="16"/>
        <v>0</v>
      </c>
      <c r="G67" s="302">
        <f t="shared" si="16"/>
        <v>0</v>
      </c>
      <c r="H67" s="303">
        <f t="shared" si="16"/>
        <v>0</v>
      </c>
      <c r="I67" s="308">
        <f t="shared" si="16"/>
        <v>0</v>
      </c>
      <c r="J67" s="309">
        <f t="shared" si="2"/>
        <v>0</v>
      </c>
      <c r="K67" s="302"/>
      <c r="L67" s="303">
        <f t="shared" si="3"/>
        <v>-67308.358061325416</v>
      </c>
      <c r="M67" s="308">
        <f t="shared" si="8"/>
        <v>301787.23606426577</v>
      </c>
      <c r="N67" s="310">
        <f t="shared" si="4"/>
        <v>234478.87800294036</v>
      </c>
      <c r="O67" s="302"/>
      <c r="P67" s="311" t="str">
        <f>Données!AC67</f>
        <v/>
      </c>
      <c r="Q67" s="307" t="str">
        <f>Données!AD67</f>
        <v/>
      </c>
      <c r="R67" s="302">
        <f t="shared" si="9"/>
        <v>0</v>
      </c>
      <c r="S67" s="308">
        <f t="shared" si="10"/>
        <v>0</v>
      </c>
      <c r="T67" s="302">
        <f t="shared" si="11"/>
        <v>51084.149147350705</v>
      </c>
      <c r="U67" s="312">
        <f t="shared" si="5"/>
        <v>51084.149147350705</v>
      </c>
    </row>
    <row r="68" spans="1:21" x14ac:dyDescent="0.25">
      <c r="A68" s="159">
        <f>Données!A68</f>
        <v>5501</v>
      </c>
      <c r="B68" s="160" t="str">
        <f>Données!B68</f>
        <v>Sullens</v>
      </c>
      <c r="C68" s="307">
        <f>Données!C68</f>
        <v>1282</v>
      </c>
      <c r="D68" s="303">
        <f t="shared" si="0"/>
        <v>1000</v>
      </c>
      <c r="E68" s="303">
        <f t="shared" si="6"/>
        <v>282</v>
      </c>
      <c r="F68" s="308">
        <f t="shared" si="16"/>
        <v>0</v>
      </c>
      <c r="G68" s="302">
        <f t="shared" si="16"/>
        <v>0</v>
      </c>
      <c r="H68" s="303">
        <f t="shared" si="16"/>
        <v>0</v>
      </c>
      <c r="I68" s="308">
        <f t="shared" si="16"/>
        <v>0</v>
      </c>
      <c r="J68" s="309">
        <f t="shared" si="2"/>
        <v>0</v>
      </c>
      <c r="K68" s="302"/>
      <c r="L68" s="303">
        <f t="shared" si="3"/>
        <v>-238524.82690405537</v>
      </c>
      <c r="M68" s="308">
        <f t="shared" si="8"/>
        <v>766121.26066215581</v>
      </c>
      <c r="N68" s="310">
        <f t="shared" si="4"/>
        <v>527596.43375810049</v>
      </c>
      <c r="O68" s="302"/>
      <c r="P68" s="311" t="str">
        <f>Données!AC68</f>
        <v/>
      </c>
      <c r="Q68" s="307" t="str">
        <f>Données!AD68</f>
        <v/>
      </c>
      <c r="R68" s="302">
        <f t="shared" si="9"/>
        <v>0</v>
      </c>
      <c r="S68" s="308">
        <f t="shared" si="10"/>
        <v>0</v>
      </c>
      <c r="T68" s="302">
        <f t="shared" si="11"/>
        <v>129682.92912258139</v>
      </c>
      <c r="U68" s="312">
        <f t="shared" si="5"/>
        <v>129682.92912258139</v>
      </c>
    </row>
    <row r="69" spans="1:21" x14ac:dyDescent="0.25">
      <c r="A69" s="159">
        <f>Données!A69</f>
        <v>5503</v>
      </c>
      <c r="B69" s="160" t="str">
        <f>Données!B69</f>
        <v>Vufflens-la-Ville</v>
      </c>
      <c r="C69" s="307">
        <f>Données!C69</f>
        <v>1327</v>
      </c>
      <c r="D69" s="303">
        <f t="shared" si="0"/>
        <v>1000</v>
      </c>
      <c r="E69" s="303">
        <f t="shared" si="6"/>
        <v>327</v>
      </c>
      <c r="F69" s="308">
        <f t="shared" ref="F69:I78" si="17">IF($C69&lt;F$4,0,IF($C69&gt;F$5,F$5-F$4,$C69-F$4))</f>
        <v>0</v>
      </c>
      <c r="G69" s="302">
        <f t="shared" si="17"/>
        <v>0</v>
      </c>
      <c r="H69" s="303">
        <f t="shared" si="17"/>
        <v>0</v>
      </c>
      <c r="I69" s="308">
        <f t="shared" si="17"/>
        <v>0</v>
      </c>
      <c r="J69" s="309">
        <f t="shared" si="2"/>
        <v>0</v>
      </c>
      <c r="K69" s="302"/>
      <c r="L69" s="303">
        <f t="shared" si="3"/>
        <v>-255318.59545004944</v>
      </c>
      <c r="M69" s="308">
        <f t="shared" si="8"/>
        <v>793013.1925886746</v>
      </c>
      <c r="N69" s="310">
        <f t="shared" si="4"/>
        <v>537694.5971386251</v>
      </c>
      <c r="O69" s="302"/>
      <c r="P69" s="311" t="str">
        <f>Données!AC69</f>
        <v/>
      </c>
      <c r="Q69" s="307" t="str">
        <f>Données!AD69</f>
        <v/>
      </c>
      <c r="R69" s="302">
        <f t="shared" si="9"/>
        <v>0</v>
      </c>
      <c r="S69" s="308">
        <f t="shared" si="10"/>
        <v>0</v>
      </c>
      <c r="T69" s="302">
        <f t="shared" si="11"/>
        <v>134234.98201689977</v>
      </c>
      <c r="U69" s="312">
        <f t="shared" si="5"/>
        <v>134234.98201689977</v>
      </c>
    </row>
    <row r="70" spans="1:21" x14ac:dyDescent="0.25">
      <c r="A70" s="159">
        <f>Données!A70</f>
        <v>5511</v>
      </c>
      <c r="B70" s="160" t="str">
        <f>Données!B70</f>
        <v>Assens</v>
      </c>
      <c r="C70" s="307">
        <f>Données!C70</f>
        <v>1747</v>
      </c>
      <c r="D70" s="303">
        <f t="shared" si="0"/>
        <v>1000</v>
      </c>
      <c r="E70" s="303">
        <f t="shared" si="6"/>
        <v>747</v>
      </c>
      <c r="F70" s="308">
        <f t="shared" si="17"/>
        <v>0</v>
      </c>
      <c r="G70" s="302">
        <f t="shared" si="17"/>
        <v>0</v>
      </c>
      <c r="H70" s="303">
        <f t="shared" si="17"/>
        <v>0</v>
      </c>
      <c r="I70" s="308">
        <f t="shared" si="17"/>
        <v>0</v>
      </c>
      <c r="J70" s="309">
        <f t="shared" si="2"/>
        <v>0</v>
      </c>
      <c r="K70" s="302"/>
      <c r="L70" s="303">
        <f t="shared" si="3"/>
        <v>-412060.4352126607</v>
      </c>
      <c r="M70" s="308">
        <f t="shared" si="8"/>
        <v>1044004.5572361827</v>
      </c>
      <c r="N70" s="310">
        <f t="shared" si="4"/>
        <v>631944.12202352204</v>
      </c>
      <c r="O70" s="302"/>
      <c r="P70" s="311" t="str">
        <f>Données!AC70</f>
        <v/>
      </c>
      <c r="Q70" s="307" t="str">
        <f>Données!AD70</f>
        <v/>
      </c>
      <c r="R70" s="302">
        <f t="shared" si="9"/>
        <v>0</v>
      </c>
      <c r="S70" s="308">
        <f t="shared" si="10"/>
        <v>0</v>
      </c>
      <c r="T70" s="302">
        <f t="shared" si="11"/>
        <v>176720.80903053799</v>
      </c>
      <c r="U70" s="312">
        <f t="shared" si="5"/>
        <v>176720.80903053799</v>
      </c>
    </row>
    <row r="71" spans="1:21" x14ac:dyDescent="0.25">
      <c r="A71" s="159">
        <f>Données!A71</f>
        <v>5512</v>
      </c>
      <c r="B71" s="160" t="str">
        <f>Données!B71</f>
        <v>Bercher</v>
      </c>
      <c r="C71" s="307">
        <f>Données!C71</f>
        <v>1359</v>
      </c>
      <c r="D71" s="303">
        <f t="shared" si="0"/>
        <v>1000</v>
      </c>
      <c r="E71" s="303">
        <f t="shared" si="6"/>
        <v>359</v>
      </c>
      <c r="F71" s="308">
        <f t="shared" si="17"/>
        <v>0</v>
      </c>
      <c r="G71" s="302">
        <f t="shared" si="17"/>
        <v>0</v>
      </c>
      <c r="H71" s="303">
        <f t="shared" si="17"/>
        <v>0</v>
      </c>
      <c r="I71" s="308">
        <f t="shared" si="17"/>
        <v>0</v>
      </c>
      <c r="J71" s="309">
        <f t="shared" si="2"/>
        <v>0</v>
      </c>
      <c r="K71" s="302"/>
      <c r="L71" s="303">
        <f t="shared" si="3"/>
        <v>-267260.8308605341</v>
      </c>
      <c r="M71" s="308">
        <f t="shared" si="8"/>
        <v>812136.34418086568</v>
      </c>
      <c r="N71" s="310">
        <f t="shared" si="4"/>
        <v>544875.51332033158</v>
      </c>
      <c r="O71" s="302"/>
      <c r="P71" s="311" t="str">
        <f>Données!AC71</f>
        <v/>
      </c>
      <c r="Q71" s="307" t="str">
        <f>Données!AD71</f>
        <v/>
      </c>
      <c r="R71" s="302">
        <f t="shared" si="9"/>
        <v>0</v>
      </c>
      <c r="S71" s="308">
        <f t="shared" si="10"/>
        <v>0</v>
      </c>
      <c r="T71" s="302">
        <f t="shared" si="11"/>
        <v>137471.99740841507</v>
      </c>
      <c r="U71" s="312">
        <f t="shared" si="5"/>
        <v>137471.99740841507</v>
      </c>
    </row>
    <row r="72" spans="1:21" x14ac:dyDescent="0.25">
      <c r="A72" s="159">
        <f>Données!A72</f>
        <v>5514</v>
      </c>
      <c r="B72" s="160" t="str">
        <f>Données!B72</f>
        <v>Bottens</v>
      </c>
      <c r="C72" s="307">
        <f>Données!C72</f>
        <v>1389</v>
      </c>
      <c r="D72" s="303">
        <f t="shared" ref="D72:D135" si="18">IF(C72&gt;$D$5,$D$5-$D$4,C72)</f>
        <v>1000</v>
      </c>
      <c r="E72" s="303">
        <f t="shared" si="6"/>
        <v>389</v>
      </c>
      <c r="F72" s="308">
        <f t="shared" si="17"/>
        <v>0</v>
      </c>
      <c r="G72" s="302">
        <f t="shared" si="17"/>
        <v>0</v>
      </c>
      <c r="H72" s="303">
        <f t="shared" si="17"/>
        <v>0</v>
      </c>
      <c r="I72" s="308">
        <f t="shared" si="17"/>
        <v>0</v>
      </c>
      <c r="J72" s="309">
        <f t="shared" ref="J72:J135" si="19">IF($C72&lt;J$4,0,$C72-J$4)</f>
        <v>0</v>
      </c>
      <c r="K72" s="302"/>
      <c r="L72" s="303">
        <f t="shared" ref="L72:L135" si="20">-SUMPRODUCT($D$6:$J$6,D72:J72)</f>
        <v>-278456.67655786348</v>
      </c>
      <c r="M72" s="308">
        <f t="shared" si="8"/>
        <v>830064.2987985448</v>
      </c>
      <c r="N72" s="310">
        <f t="shared" ref="N72:N135" si="21">SUM(L72:M72)</f>
        <v>551607.62224068132</v>
      </c>
      <c r="O72" s="302"/>
      <c r="P72" s="311" t="str">
        <f>Données!AC72</f>
        <v/>
      </c>
      <c r="Q72" s="307" t="str">
        <f>Données!AD72</f>
        <v/>
      </c>
      <c r="R72" s="302">
        <f t="shared" si="9"/>
        <v>0</v>
      </c>
      <c r="S72" s="308">
        <f t="shared" si="10"/>
        <v>0</v>
      </c>
      <c r="T72" s="302">
        <f t="shared" si="11"/>
        <v>140506.69933796066</v>
      </c>
      <c r="U72" s="312">
        <f t="shared" ref="U72:U135" si="22">S72+T72</f>
        <v>140506.69933796066</v>
      </c>
    </row>
    <row r="73" spans="1:21" x14ac:dyDescent="0.25">
      <c r="A73" s="159">
        <f>Données!A73</f>
        <v>5515</v>
      </c>
      <c r="B73" s="160" t="str">
        <f>Données!B73</f>
        <v>Bretigny-sur-Morrens</v>
      </c>
      <c r="C73" s="307">
        <f>Données!C73</f>
        <v>893</v>
      </c>
      <c r="D73" s="303">
        <f t="shared" si="18"/>
        <v>893</v>
      </c>
      <c r="E73" s="303">
        <f t="shared" ref="E73:E136" si="23">IF(C73&lt;$E$4,0,IF(C73&gt;$E$5,$E$5-$E$4,C73-$E$4))</f>
        <v>0</v>
      </c>
      <c r="F73" s="308">
        <f t="shared" si="17"/>
        <v>0</v>
      </c>
      <c r="G73" s="302">
        <f t="shared" si="17"/>
        <v>0</v>
      </c>
      <c r="H73" s="303">
        <f t="shared" si="17"/>
        <v>0</v>
      </c>
      <c r="I73" s="308">
        <f t="shared" si="17"/>
        <v>0</v>
      </c>
      <c r="J73" s="309">
        <f t="shared" si="19"/>
        <v>0</v>
      </c>
      <c r="K73" s="302"/>
      <c r="L73" s="303">
        <f t="shared" si="20"/>
        <v>-119022.5024727992</v>
      </c>
      <c r="M73" s="308">
        <f t="shared" ref="M73:M136" si="24">(-$L$6)/($C$308)*C73</f>
        <v>533655.44911958277</v>
      </c>
      <c r="N73" s="310">
        <f t="shared" si="21"/>
        <v>414632.94664678356</v>
      </c>
      <c r="O73" s="302"/>
      <c r="P73" s="311" t="str">
        <f>Données!AC73</f>
        <v/>
      </c>
      <c r="Q73" s="307" t="str">
        <f>Données!AD73</f>
        <v/>
      </c>
      <c r="R73" s="302">
        <f t="shared" ref="R73:R136" si="25">SUM(P73:Q73)</f>
        <v>0</v>
      </c>
      <c r="S73" s="308">
        <f t="shared" ref="S73:S136" si="26">-R73*$P$6</f>
        <v>0</v>
      </c>
      <c r="T73" s="302">
        <f t="shared" ref="T73:T136" si="27">-$S$6/$C$308*C73</f>
        <v>90332.960769473633</v>
      </c>
      <c r="U73" s="312">
        <f t="shared" si="22"/>
        <v>90332.960769473633</v>
      </c>
    </row>
    <row r="74" spans="1:21" x14ac:dyDescent="0.25">
      <c r="A74" s="159">
        <f>Données!A74</f>
        <v>5516</v>
      </c>
      <c r="B74" s="160" t="str">
        <f>Données!B74</f>
        <v>Cugy</v>
      </c>
      <c r="C74" s="307">
        <f>Données!C74</f>
        <v>2824</v>
      </c>
      <c r="D74" s="303">
        <f t="shared" si="18"/>
        <v>1000</v>
      </c>
      <c r="E74" s="303">
        <f t="shared" si="23"/>
        <v>1824</v>
      </c>
      <c r="F74" s="308">
        <f t="shared" si="17"/>
        <v>0</v>
      </c>
      <c r="G74" s="302">
        <f t="shared" si="17"/>
        <v>0</v>
      </c>
      <c r="H74" s="303">
        <f t="shared" si="17"/>
        <v>0</v>
      </c>
      <c r="I74" s="308">
        <f t="shared" si="17"/>
        <v>0</v>
      </c>
      <c r="J74" s="309">
        <f t="shared" si="19"/>
        <v>0</v>
      </c>
      <c r="K74" s="302"/>
      <c r="L74" s="303">
        <f t="shared" si="20"/>
        <v>-813991.29574678536</v>
      </c>
      <c r="M74" s="308">
        <f t="shared" si="24"/>
        <v>1687618.1280108644</v>
      </c>
      <c r="N74" s="310">
        <f t="shared" si="21"/>
        <v>873626.83226407901</v>
      </c>
      <c r="O74" s="302"/>
      <c r="P74" s="311" t="str">
        <f>Données!AC74</f>
        <v/>
      </c>
      <c r="Q74" s="307" t="str">
        <f>Données!AD74</f>
        <v/>
      </c>
      <c r="R74" s="302">
        <f t="shared" si="25"/>
        <v>0</v>
      </c>
      <c r="S74" s="308">
        <f t="shared" si="26"/>
        <v>0</v>
      </c>
      <c r="T74" s="302">
        <f t="shared" si="27"/>
        <v>285666.60830122454</v>
      </c>
      <c r="U74" s="312">
        <f t="shared" si="22"/>
        <v>285666.60830122454</v>
      </c>
    </row>
    <row r="75" spans="1:21" x14ac:dyDescent="0.25">
      <c r="A75" s="159">
        <f>Données!A75</f>
        <v>5518</v>
      </c>
      <c r="B75" s="160" t="str">
        <f>Données!B75</f>
        <v>Echallens</v>
      </c>
      <c r="C75" s="307">
        <f>Données!C75</f>
        <v>6816</v>
      </c>
      <c r="D75" s="303">
        <f t="shared" si="18"/>
        <v>1000</v>
      </c>
      <c r="E75" s="303">
        <f t="shared" si="23"/>
        <v>2000</v>
      </c>
      <c r="F75" s="308">
        <f t="shared" si="17"/>
        <v>3816</v>
      </c>
      <c r="G75" s="302">
        <f t="shared" si="17"/>
        <v>0</v>
      </c>
      <c r="H75" s="303">
        <f t="shared" si="17"/>
        <v>0</v>
      </c>
      <c r="I75" s="308">
        <f t="shared" si="17"/>
        <v>0</v>
      </c>
      <c r="J75" s="309">
        <f t="shared" si="19"/>
        <v>0</v>
      </c>
      <c r="K75" s="302"/>
      <c r="L75" s="303">
        <f t="shared" si="20"/>
        <v>-3422729.9703264097</v>
      </c>
      <c r="M75" s="308">
        <f t="shared" si="24"/>
        <v>4073231.2891367036</v>
      </c>
      <c r="N75" s="310">
        <f t="shared" si="21"/>
        <v>650501.31881029392</v>
      </c>
      <c r="O75" s="302"/>
      <c r="P75" s="311" t="str">
        <f>Données!AC75</f>
        <v/>
      </c>
      <c r="Q75" s="307" t="str">
        <f>Données!AD75</f>
        <v/>
      </c>
      <c r="R75" s="302">
        <f t="shared" si="25"/>
        <v>0</v>
      </c>
      <c r="S75" s="308">
        <f t="shared" si="26"/>
        <v>0</v>
      </c>
      <c r="T75" s="302">
        <f t="shared" si="27"/>
        <v>689484.27839275729</v>
      </c>
      <c r="U75" s="312">
        <f t="shared" si="22"/>
        <v>689484.27839275729</v>
      </c>
    </row>
    <row r="76" spans="1:21" x14ac:dyDescent="0.25">
      <c r="A76" s="159">
        <f>Données!A76</f>
        <v>5520</v>
      </c>
      <c r="B76" s="160" t="str">
        <f>Données!B76</f>
        <v>Essertines-sur-Yverdon</v>
      </c>
      <c r="C76" s="307">
        <f>Données!C76</f>
        <v>1183</v>
      </c>
      <c r="D76" s="303">
        <f t="shared" si="18"/>
        <v>1000</v>
      </c>
      <c r="E76" s="303">
        <f t="shared" si="23"/>
        <v>183</v>
      </c>
      <c r="F76" s="308">
        <f t="shared" si="17"/>
        <v>0</v>
      </c>
      <c r="G76" s="302">
        <f t="shared" si="17"/>
        <v>0</v>
      </c>
      <c r="H76" s="303">
        <f t="shared" si="17"/>
        <v>0</v>
      </c>
      <c r="I76" s="308">
        <f t="shared" si="17"/>
        <v>0</v>
      </c>
      <c r="J76" s="309">
        <f t="shared" si="19"/>
        <v>0</v>
      </c>
      <c r="K76" s="302"/>
      <c r="L76" s="303">
        <f t="shared" si="20"/>
        <v>-201578.53610286844</v>
      </c>
      <c r="M76" s="308">
        <f t="shared" si="24"/>
        <v>706959.01042381465</v>
      </c>
      <c r="N76" s="310">
        <f t="shared" si="21"/>
        <v>505380.4743209462</v>
      </c>
      <c r="O76" s="302"/>
      <c r="P76" s="311" t="str">
        <f>Données!AC76</f>
        <v/>
      </c>
      <c r="Q76" s="307" t="str">
        <f>Données!AD76</f>
        <v/>
      </c>
      <c r="R76" s="302">
        <f t="shared" si="25"/>
        <v>0</v>
      </c>
      <c r="S76" s="308">
        <f t="shared" si="26"/>
        <v>0</v>
      </c>
      <c r="T76" s="302">
        <f t="shared" si="27"/>
        <v>119668.41275508096</v>
      </c>
      <c r="U76" s="312">
        <f t="shared" si="22"/>
        <v>119668.41275508096</v>
      </c>
    </row>
    <row r="77" spans="1:21" x14ac:dyDescent="0.25">
      <c r="A77" s="159">
        <f>Données!A77</f>
        <v>5521</v>
      </c>
      <c r="B77" s="160" t="str">
        <f>Données!B77</f>
        <v>Etagnières</v>
      </c>
      <c r="C77" s="307">
        <f>Données!C77</f>
        <v>1168</v>
      </c>
      <c r="D77" s="303">
        <f t="shared" si="18"/>
        <v>1000</v>
      </c>
      <c r="E77" s="303">
        <f t="shared" si="23"/>
        <v>168</v>
      </c>
      <c r="F77" s="308">
        <f t="shared" si="17"/>
        <v>0</v>
      </c>
      <c r="G77" s="302">
        <f t="shared" si="17"/>
        <v>0</v>
      </c>
      <c r="H77" s="303">
        <f t="shared" si="17"/>
        <v>0</v>
      </c>
      <c r="I77" s="308">
        <f t="shared" si="17"/>
        <v>0</v>
      </c>
      <c r="J77" s="309">
        <f t="shared" si="19"/>
        <v>0</v>
      </c>
      <c r="K77" s="302"/>
      <c r="L77" s="303">
        <f t="shared" si="20"/>
        <v>-195980.61325420375</v>
      </c>
      <c r="M77" s="308">
        <f t="shared" si="24"/>
        <v>697995.03311497509</v>
      </c>
      <c r="N77" s="310">
        <f t="shared" si="21"/>
        <v>502014.41986077133</v>
      </c>
      <c r="O77" s="302"/>
      <c r="P77" s="311" t="str">
        <f>Données!AC77</f>
        <v/>
      </c>
      <c r="Q77" s="307" t="str">
        <f>Données!AD77</f>
        <v/>
      </c>
      <c r="R77" s="302">
        <f t="shared" si="25"/>
        <v>0</v>
      </c>
      <c r="S77" s="308">
        <f t="shared" si="26"/>
        <v>0</v>
      </c>
      <c r="T77" s="302">
        <f t="shared" si="27"/>
        <v>118151.06179030817</v>
      </c>
      <c r="U77" s="312">
        <f t="shared" si="22"/>
        <v>118151.06179030817</v>
      </c>
    </row>
    <row r="78" spans="1:21" x14ac:dyDescent="0.25">
      <c r="A78" s="159">
        <f>Données!A78</f>
        <v>5522</v>
      </c>
      <c r="B78" s="160" t="str">
        <f>Données!B78</f>
        <v>Fey</v>
      </c>
      <c r="C78" s="307">
        <f>Données!C78</f>
        <v>791</v>
      </c>
      <c r="D78" s="303">
        <f t="shared" si="18"/>
        <v>791</v>
      </c>
      <c r="E78" s="303">
        <f t="shared" si="23"/>
        <v>0</v>
      </c>
      <c r="F78" s="308">
        <f t="shared" si="17"/>
        <v>0</v>
      </c>
      <c r="G78" s="302">
        <f t="shared" si="17"/>
        <v>0</v>
      </c>
      <c r="H78" s="303">
        <f t="shared" si="17"/>
        <v>0</v>
      </c>
      <c r="I78" s="308">
        <f t="shared" si="17"/>
        <v>0</v>
      </c>
      <c r="J78" s="309">
        <f t="shared" si="19"/>
        <v>0</v>
      </c>
      <c r="K78" s="302"/>
      <c r="L78" s="303">
        <f t="shared" si="20"/>
        <v>-105427.54698318496</v>
      </c>
      <c r="M78" s="308">
        <f t="shared" si="24"/>
        <v>472700.40341947367</v>
      </c>
      <c r="N78" s="310">
        <f t="shared" si="21"/>
        <v>367272.85643628868</v>
      </c>
      <c r="O78" s="302"/>
      <c r="P78" s="311" t="str">
        <f>Données!AC78</f>
        <v/>
      </c>
      <c r="Q78" s="307" t="str">
        <f>Données!AD78</f>
        <v/>
      </c>
      <c r="R78" s="302">
        <f t="shared" si="25"/>
        <v>0</v>
      </c>
      <c r="S78" s="308">
        <f t="shared" si="26"/>
        <v>0</v>
      </c>
      <c r="T78" s="302">
        <f t="shared" si="27"/>
        <v>80014.974209018634</v>
      </c>
      <c r="U78" s="312">
        <f t="shared" si="22"/>
        <v>80014.974209018634</v>
      </c>
    </row>
    <row r="79" spans="1:21" x14ac:dyDescent="0.25">
      <c r="A79" s="159">
        <f>Données!A79</f>
        <v>5523</v>
      </c>
      <c r="B79" s="160" t="str">
        <f>Données!B79</f>
        <v>Froideville</v>
      </c>
      <c r="C79" s="307">
        <f>Données!C79</f>
        <v>2713</v>
      </c>
      <c r="D79" s="303">
        <f t="shared" si="18"/>
        <v>1000</v>
      </c>
      <c r="E79" s="303">
        <f t="shared" si="23"/>
        <v>1713</v>
      </c>
      <c r="F79" s="308">
        <f t="shared" ref="F79:I88" si="28">IF($C79&lt;F$4,0,IF($C79&gt;F$5,F$5-F$4,$C79-F$4))</f>
        <v>0</v>
      </c>
      <c r="G79" s="302">
        <f t="shared" si="28"/>
        <v>0</v>
      </c>
      <c r="H79" s="303">
        <f t="shared" si="28"/>
        <v>0</v>
      </c>
      <c r="I79" s="308">
        <f t="shared" si="28"/>
        <v>0</v>
      </c>
      <c r="J79" s="309">
        <f t="shared" si="19"/>
        <v>0</v>
      </c>
      <c r="K79" s="302"/>
      <c r="L79" s="303">
        <f t="shared" si="20"/>
        <v>-772566.66666666663</v>
      </c>
      <c r="M79" s="308">
        <f t="shared" si="24"/>
        <v>1621284.6959254516</v>
      </c>
      <c r="N79" s="310">
        <f t="shared" si="21"/>
        <v>848718.02925878495</v>
      </c>
      <c r="O79" s="302"/>
      <c r="P79" s="311" t="str">
        <f>Données!AC79</f>
        <v/>
      </c>
      <c r="Q79" s="307" t="str">
        <f>Données!AD79</f>
        <v/>
      </c>
      <c r="R79" s="302">
        <f t="shared" si="25"/>
        <v>0</v>
      </c>
      <c r="S79" s="308">
        <f t="shared" si="26"/>
        <v>0</v>
      </c>
      <c r="T79" s="302">
        <f t="shared" si="27"/>
        <v>274438.2111619059</v>
      </c>
      <c r="U79" s="312">
        <f t="shared" si="22"/>
        <v>274438.2111619059</v>
      </c>
    </row>
    <row r="80" spans="1:21" x14ac:dyDescent="0.25">
      <c r="A80" s="159">
        <f>Données!A80</f>
        <v>5527</v>
      </c>
      <c r="B80" s="160" t="str">
        <f>Données!B80</f>
        <v>Morrens</v>
      </c>
      <c r="C80" s="307">
        <f>Données!C80</f>
        <v>1145</v>
      </c>
      <c r="D80" s="303">
        <f t="shared" si="18"/>
        <v>1000</v>
      </c>
      <c r="E80" s="303">
        <f t="shared" si="23"/>
        <v>145</v>
      </c>
      <c r="F80" s="308">
        <f t="shared" si="28"/>
        <v>0</v>
      </c>
      <c r="G80" s="302">
        <f t="shared" si="28"/>
        <v>0</v>
      </c>
      <c r="H80" s="303">
        <f t="shared" si="28"/>
        <v>0</v>
      </c>
      <c r="I80" s="308">
        <f t="shared" si="28"/>
        <v>0</v>
      </c>
      <c r="J80" s="309">
        <f t="shared" si="19"/>
        <v>0</v>
      </c>
      <c r="K80" s="302"/>
      <c r="L80" s="303">
        <f t="shared" si="20"/>
        <v>-187397.13155291788</v>
      </c>
      <c r="M80" s="308">
        <f t="shared" si="24"/>
        <v>684250.2679080877</v>
      </c>
      <c r="N80" s="310">
        <f t="shared" si="21"/>
        <v>496853.13635516982</v>
      </c>
      <c r="O80" s="302"/>
      <c r="P80" s="311" t="str">
        <f>Données!AC80</f>
        <v/>
      </c>
      <c r="Q80" s="307" t="str">
        <f>Données!AD80</f>
        <v/>
      </c>
      <c r="R80" s="302">
        <f t="shared" si="25"/>
        <v>0</v>
      </c>
      <c r="S80" s="308">
        <f t="shared" si="26"/>
        <v>0</v>
      </c>
      <c r="T80" s="302">
        <f t="shared" si="27"/>
        <v>115824.45697765655</v>
      </c>
      <c r="U80" s="312">
        <f t="shared" si="22"/>
        <v>115824.45697765655</v>
      </c>
    </row>
    <row r="81" spans="1:21" x14ac:dyDescent="0.25">
      <c r="A81" s="159">
        <f>Données!A81</f>
        <v>5529</v>
      </c>
      <c r="B81" s="160" t="str">
        <f>Données!B81</f>
        <v>Oulens-sous-Echallens</v>
      </c>
      <c r="C81" s="307">
        <f>Données!C81</f>
        <v>609</v>
      </c>
      <c r="D81" s="303">
        <f t="shared" si="18"/>
        <v>609</v>
      </c>
      <c r="E81" s="303">
        <f t="shared" si="23"/>
        <v>0</v>
      </c>
      <c r="F81" s="308">
        <f t="shared" si="28"/>
        <v>0</v>
      </c>
      <c r="G81" s="302">
        <f t="shared" si="28"/>
        <v>0</v>
      </c>
      <c r="H81" s="303">
        <f t="shared" si="28"/>
        <v>0</v>
      </c>
      <c r="I81" s="308">
        <f t="shared" si="28"/>
        <v>0</v>
      </c>
      <c r="J81" s="309">
        <f t="shared" si="19"/>
        <v>0</v>
      </c>
      <c r="K81" s="302"/>
      <c r="L81" s="303">
        <f t="shared" si="20"/>
        <v>-81169.881305637973</v>
      </c>
      <c r="M81" s="308">
        <f t="shared" si="24"/>
        <v>363937.47873888683</v>
      </c>
      <c r="N81" s="310">
        <f t="shared" si="21"/>
        <v>282767.59743324888</v>
      </c>
      <c r="O81" s="302"/>
      <c r="P81" s="311" t="str">
        <f>Données!AC81</f>
        <v/>
      </c>
      <c r="Q81" s="307" t="str">
        <f>Données!AD81</f>
        <v/>
      </c>
      <c r="R81" s="302">
        <f t="shared" si="25"/>
        <v>0</v>
      </c>
      <c r="S81" s="308">
        <f t="shared" si="26"/>
        <v>0</v>
      </c>
      <c r="T81" s="302">
        <f t="shared" si="27"/>
        <v>61604.449169775406</v>
      </c>
      <c r="U81" s="312">
        <f t="shared" si="22"/>
        <v>61604.449169775406</v>
      </c>
    </row>
    <row r="82" spans="1:21" x14ac:dyDescent="0.25">
      <c r="A82" s="159">
        <f>Données!A82</f>
        <v>5530</v>
      </c>
      <c r="B82" s="160" t="str">
        <f>Données!B82</f>
        <v>Pailly</v>
      </c>
      <c r="C82" s="307">
        <f>Données!C82</f>
        <v>575</v>
      </c>
      <c r="D82" s="303">
        <f t="shared" si="18"/>
        <v>575</v>
      </c>
      <c r="E82" s="303">
        <f t="shared" si="23"/>
        <v>0</v>
      </c>
      <c r="F82" s="308">
        <f t="shared" si="28"/>
        <v>0</v>
      </c>
      <c r="G82" s="302">
        <f t="shared" si="28"/>
        <v>0</v>
      </c>
      <c r="H82" s="303">
        <f t="shared" si="28"/>
        <v>0</v>
      </c>
      <c r="I82" s="308">
        <f t="shared" si="28"/>
        <v>0</v>
      </c>
      <c r="J82" s="309">
        <f t="shared" si="19"/>
        <v>0</v>
      </c>
      <c r="K82" s="302"/>
      <c r="L82" s="303">
        <f t="shared" si="20"/>
        <v>-76638.229475766566</v>
      </c>
      <c r="M82" s="308">
        <f t="shared" si="24"/>
        <v>343619.1301721838</v>
      </c>
      <c r="N82" s="310">
        <f t="shared" si="21"/>
        <v>266980.9006964172</v>
      </c>
      <c r="O82" s="302"/>
      <c r="P82" s="311" t="str">
        <f>Données!AC82</f>
        <v/>
      </c>
      <c r="Q82" s="307" t="str">
        <f>Données!AD82</f>
        <v/>
      </c>
      <c r="R82" s="302">
        <f t="shared" si="25"/>
        <v>0</v>
      </c>
      <c r="S82" s="308">
        <f t="shared" si="26"/>
        <v>0</v>
      </c>
      <c r="T82" s="302">
        <f t="shared" si="27"/>
        <v>58165.120316290406</v>
      </c>
      <c r="U82" s="312">
        <f t="shared" si="22"/>
        <v>58165.120316290406</v>
      </c>
    </row>
    <row r="83" spans="1:21" x14ac:dyDescent="0.25">
      <c r="A83" s="159">
        <f>Données!A83</f>
        <v>5531</v>
      </c>
      <c r="B83" s="160" t="str">
        <f>Données!B83</f>
        <v>Penthéréaz</v>
      </c>
      <c r="C83" s="307">
        <f>Données!C83</f>
        <v>446</v>
      </c>
      <c r="D83" s="303">
        <f t="shared" si="18"/>
        <v>446</v>
      </c>
      <c r="E83" s="303">
        <f t="shared" si="23"/>
        <v>0</v>
      </c>
      <c r="F83" s="308">
        <f t="shared" si="28"/>
        <v>0</v>
      </c>
      <c r="G83" s="302">
        <f t="shared" si="28"/>
        <v>0</v>
      </c>
      <c r="H83" s="303">
        <f t="shared" si="28"/>
        <v>0</v>
      </c>
      <c r="I83" s="308">
        <f t="shared" si="28"/>
        <v>0</v>
      </c>
      <c r="J83" s="309">
        <f t="shared" si="19"/>
        <v>0</v>
      </c>
      <c r="K83" s="302"/>
      <c r="L83" s="303">
        <f t="shared" si="20"/>
        <v>-59444.609297725023</v>
      </c>
      <c r="M83" s="308">
        <f t="shared" si="24"/>
        <v>266528.9253161634</v>
      </c>
      <c r="N83" s="310">
        <f t="shared" si="21"/>
        <v>207084.31601843837</v>
      </c>
      <c r="O83" s="302"/>
      <c r="P83" s="311" t="str">
        <f>Données!AC83</f>
        <v/>
      </c>
      <c r="Q83" s="307" t="str">
        <f>Données!AD83</f>
        <v/>
      </c>
      <c r="R83" s="302">
        <f t="shared" si="25"/>
        <v>0</v>
      </c>
      <c r="S83" s="308">
        <f t="shared" si="26"/>
        <v>0</v>
      </c>
      <c r="T83" s="302">
        <f t="shared" si="27"/>
        <v>45115.902019244386</v>
      </c>
      <c r="U83" s="312">
        <f t="shared" si="22"/>
        <v>45115.902019244386</v>
      </c>
    </row>
    <row r="84" spans="1:21" x14ac:dyDescent="0.25">
      <c r="A84" s="159">
        <f>Données!A84</f>
        <v>5533</v>
      </c>
      <c r="B84" s="160" t="str">
        <f>Données!B84</f>
        <v>Poliez-Pittet</v>
      </c>
      <c r="C84" s="307">
        <f>Données!C84</f>
        <v>847</v>
      </c>
      <c r="D84" s="303">
        <f t="shared" si="18"/>
        <v>847</v>
      </c>
      <c r="E84" s="303">
        <f t="shared" si="23"/>
        <v>0</v>
      </c>
      <c r="F84" s="308">
        <f t="shared" si="28"/>
        <v>0</v>
      </c>
      <c r="G84" s="302">
        <f t="shared" si="28"/>
        <v>0</v>
      </c>
      <c r="H84" s="303">
        <f t="shared" si="28"/>
        <v>0</v>
      </c>
      <c r="I84" s="308">
        <f t="shared" si="28"/>
        <v>0</v>
      </c>
      <c r="J84" s="309">
        <f t="shared" si="19"/>
        <v>0</v>
      </c>
      <c r="K84" s="302"/>
      <c r="L84" s="303">
        <f t="shared" si="20"/>
        <v>-112891.44411473788</v>
      </c>
      <c r="M84" s="308">
        <f t="shared" si="24"/>
        <v>506165.91870580812</v>
      </c>
      <c r="N84" s="310">
        <f t="shared" si="21"/>
        <v>393274.4745910702</v>
      </c>
      <c r="O84" s="302"/>
      <c r="P84" s="311" t="str">
        <f>Données!AC84</f>
        <v/>
      </c>
      <c r="Q84" s="307" t="str">
        <f>Données!AD84</f>
        <v/>
      </c>
      <c r="R84" s="302">
        <f t="shared" si="25"/>
        <v>0</v>
      </c>
      <c r="S84" s="308">
        <f t="shared" si="26"/>
        <v>0</v>
      </c>
      <c r="T84" s="302">
        <f t="shared" si="27"/>
        <v>85679.751144170397</v>
      </c>
      <c r="U84" s="312">
        <f t="shared" si="22"/>
        <v>85679.751144170397</v>
      </c>
    </row>
    <row r="85" spans="1:21" x14ac:dyDescent="0.25">
      <c r="A85" s="159">
        <f>Données!A85</f>
        <v>5534</v>
      </c>
      <c r="B85" s="160" t="str">
        <f>Données!B85</f>
        <v>Rueyres</v>
      </c>
      <c r="C85" s="307">
        <f>Données!C85</f>
        <v>302</v>
      </c>
      <c r="D85" s="303">
        <f t="shared" si="18"/>
        <v>302</v>
      </c>
      <c r="E85" s="303">
        <f t="shared" si="23"/>
        <v>0</v>
      </c>
      <c r="F85" s="308">
        <f t="shared" si="28"/>
        <v>0</v>
      </c>
      <c r="G85" s="302">
        <f t="shared" si="28"/>
        <v>0</v>
      </c>
      <c r="H85" s="303">
        <f t="shared" si="28"/>
        <v>0</v>
      </c>
      <c r="I85" s="308">
        <f t="shared" si="28"/>
        <v>0</v>
      </c>
      <c r="J85" s="309">
        <f t="shared" si="19"/>
        <v>0</v>
      </c>
      <c r="K85" s="302"/>
      <c r="L85" s="303">
        <f t="shared" si="20"/>
        <v>-40251.730959446089</v>
      </c>
      <c r="M85" s="308">
        <f t="shared" si="24"/>
        <v>180474.7431513035</v>
      </c>
      <c r="N85" s="310">
        <f t="shared" si="21"/>
        <v>140223.01219185742</v>
      </c>
      <c r="O85" s="302"/>
      <c r="P85" s="311" t="str">
        <f>Données!AC85</f>
        <v/>
      </c>
      <c r="Q85" s="307" t="str">
        <f>Données!AD85</f>
        <v/>
      </c>
      <c r="R85" s="302">
        <f t="shared" si="25"/>
        <v>0</v>
      </c>
      <c r="S85" s="308">
        <f t="shared" si="26"/>
        <v>0</v>
      </c>
      <c r="T85" s="302">
        <f t="shared" si="27"/>
        <v>30549.332757425571</v>
      </c>
      <c r="U85" s="312">
        <f t="shared" si="22"/>
        <v>30549.332757425571</v>
      </c>
    </row>
    <row r="86" spans="1:21" x14ac:dyDescent="0.25">
      <c r="A86" s="159">
        <f>Données!A86</f>
        <v>5535</v>
      </c>
      <c r="B86" s="160" t="str">
        <f>Données!B86</f>
        <v>Saint-Barthélemy</v>
      </c>
      <c r="C86" s="307">
        <f>Données!C86</f>
        <v>838</v>
      </c>
      <c r="D86" s="303">
        <f t="shared" si="18"/>
        <v>838</v>
      </c>
      <c r="E86" s="303">
        <f t="shared" si="23"/>
        <v>0</v>
      </c>
      <c r="F86" s="308">
        <f t="shared" si="28"/>
        <v>0</v>
      </c>
      <c r="G86" s="302">
        <f t="shared" si="28"/>
        <v>0</v>
      </c>
      <c r="H86" s="303">
        <f t="shared" si="28"/>
        <v>0</v>
      </c>
      <c r="I86" s="308">
        <f t="shared" si="28"/>
        <v>0</v>
      </c>
      <c r="J86" s="309">
        <f t="shared" si="19"/>
        <v>0</v>
      </c>
      <c r="K86" s="302"/>
      <c r="L86" s="303">
        <f t="shared" si="20"/>
        <v>-111691.88921859545</v>
      </c>
      <c r="M86" s="308">
        <f t="shared" si="24"/>
        <v>500787.53232050437</v>
      </c>
      <c r="N86" s="310">
        <f t="shared" si="21"/>
        <v>389095.64310190891</v>
      </c>
      <c r="O86" s="302"/>
      <c r="P86" s="311" t="str">
        <f>Données!AC86</f>
        <v/>
      </c>
      <c r="Q86" s="307" t="str">
        <f>Données!AD86</f>
        <v/>
      </c>
      <c r="R86" s="302">
        <f t="shared" si="25"/>
        <v>0</v>
      </c>
      <c r="S86" s="308">
        <f t="shared" si="26"/>
        <v>0</v>
      </c>
      <c r="T86" s="302">
        <f t="shared" si="27"/>
        <v>84769.340565306717</v>
      </c>
      <c r="U86" s="312">
        <f t="shared" si="22"/>
        <v>84769.340565306717</v>
      </c>
    </row>
    <row r="87" spans="1:21" x14ac:dyDescent="0.25">
      <c r="A87" s="159">
        <f>Données!A87</f>
        <v>5537</v>
      </c>
      <c r="B87" s="160" t="str">
        <f>Données!B87</f>
        <v>Villars-le-Terroir</v>
      </c>
      <c r="C87" s="307">
        <f>Données!C87</f>
        <v>1334</v>
      </c>
      <c r="D87" s="303">
        <f t="shared" si="18"/>
        <v>1000</v>
      </c>
      <c r="E87" s="303">
        <f t="shared" si="23"/>
        <v>334</v>
      </c>
      <c r="F87" s="308">
        <f t="shared" si="28"/>
        <v>0</v>
      </c>
      <c r="G87" s="302">
        <f t="shared" si="28"/>
        <v>0</v>
      </c>
      <c r="H87" s="303">
        <f t="shared" si="28"/>
        <v>0</v>
      </c>
      <c r="I87" s="308">
        <f t="shared" si="28"/>
        <v>0</v>
      </c>
      <c r="J87" s="309">
        <f t="shared" si="19"/>
        <v>0</v>
      </c>
      <c r="K87" s="302"/>
      <c r="L87" s="303">
        <f t="shared" si="20"/>
        <v>-257930.95944609298</v>
      </c>
      <c r="M87" s="308">
        <f t="shared" si="24"/>
        <v>797196.38199946634</v>
      </c>
      <c r="N87" s="310">
        <f t="shared" si="21"/>
        <v>539265.42255337338</v>
      </c>
      <c r="O87" s="302"/>
      <c r="P87" s="311" t="str">
        <f>Données!AC87</f>
        <v/>
      </c>
      <c r="Q87" s="307" t="str">
        <f>Données!AD87</f>
        <v/>
      </c>
      <c r="R87" s="302">
        <f t="shared" si="25"/>
        <v>0</v>
      </c>
      <c r="S87" s="308">
        <f t="shared" si="26"/>
        <v>0</v>
      </c>
      <c r="T87" s="302">
        <f t="shared" si="27"/>
        <v>134943.07913379374</v>
      </c>
      <c r="U87" s="312">
        <f t="shared" si="22"/>
        <v>134943.07913379374</v>
      </c>
    </row>
    <row r="88" spans="1:21" x14ac:dyDescent="0.25">
      <c r="A88" s="159">
        <f>Données!A88</f>
        <v>5539</v>
      </c>
      <c r="B88" s="160" t="str">
        <f>Données!B88</f>
        <v>Vuarrens</v>
      </c>
      <c r="C88" s="307">
        <f>Données!C88</f>
        <v>1113</v>
      </c>
      <c r="D88" s="303">
        <f t="shared" si="18"/>
        <v>1000</v>
      </c>
      <c r="E88" s="303">
        <f t="shared" si="23"/>
        <v>113</v>
      </c>
      <c r="F88" s="308">
        <f t="shared" si="28"/>
        <v>0</v>
      </c>
      <c r="G88" s="302">
        <f t="shared" si="28"/>
        <v>0</v>
      </c>
      <c r="H88" s="303">
        <f t="shared" si="28"/>
        <v>0</v>
      </c>
      <c r="I88" s="308">
        <f t="shared" si="28"/>
        <v>0</v>
      </c>
      <c r="J88" s="309">
        <f t="shared" si="19"/>
        <v>0</v>
      </c>
      <c r="K88" s="302"/>
      <c r="L88" s="303">
        <f t="shared" si="20"/>
        <v>-175454.89614243322</v>
      </c>
      <c r="M88" s="308">
        <f t="shared" si="24"/>
        <v>665127.11631589662</v>
      </c>
      <c r="N88" s="310">
        <f t="shared" si="21"/>
        <v>489672.2201734634</v>
      </c>
      <c r="O88" s="302"/>
      <c r="P88" s="311" t="str">
        <f>Données!AC88</f>
        <v/>
      </c>
      <c r="Q88" s="307" t="str">
        <f>Données!AD88</f>
        <v/>
      </c>
      <c r="R88" s="302">
        <f t="shared" si="25"/>
        <v>0</v>
      </c>
      <c r="S88" s="308">
        <f t="shared" si="26"/>
        <v>0</v>
      </c>
      <c r="T88" s="302">
        <f t="shared" si="27"/>
        <v>112587.44158614126</v>
      </c>
      <c r="U88" s="312">
        <f t="shared" si="22"/>
        <v>112587.44158614126</v>
      </c>
    </row>
    <row r="89" spans="1:21" x14ac:dyDescent="0.25">
      <c r="A89" s="159">
        <f>Données!A89</f>
        <v>5540</v>
      </c>
      <c r="B89" s="160" t="str">
        <f>Données!B89</f>
        <v>Montilliez</v>
      </c>
      <c r="C89" s="307">
        <f>Données!C89</f>
        <v>1856</v>
      </c>
      <c r="D89" s="303">
        <f t="shared" si="18"/>
        <v>1000</v>
      </c>
      <c r="E89" s="303">
        <f t="shared" si="23"/>
        <v>856</v>
      </c>
      <c r="F89" s="308">
        <f t="shared" ref="F89:I98" si="29">IF($C89&lt;F$4,0,IF($C89&gt;F$5,F$5-F$4,$C89-F$4))</f>
        <v>0</v>
      </c>
      <c r="G89" s="302">
        <f t="shared" si="29"/>
        <v>0</v>
      </c>
      <c r="H89" s="303">
        <f t="shared" si="29"/>
        <v>0</v>
      </c>
      <c r="I89" s="308">
        <f t="shared" si="29"/>
        <v>0</v>
      </c>
      <c r="J89" s="309">
        <f t="shared" si="19"/>
        <v>0</v>
      </c>
      <c r="K89" s="302"/>
      <c r="L89" s="303">
        <f t="shared" si="20"/>
        <v>-452738.67457962409</v>
      </c>
      <c r="M89" s="308">
        <f t="shared" si="24"/>
        <v>1109142.7923470836</v>
      </c>
      <c r="N89" s="310">
        <f t="shared" si="21"/>
        <v>656404.11776745948</v>
      </c>
      <c r="O89" s="302"/>
      <c r="P89" s="311" t="str">
        <f>Données!AC89</f>
        <v/>
      </c>
      <c r="Q89" s="307" t="str">
        <f>Données!AD89</f>
        <v/>
      </c>
      <c r="R89" s="302">
        <f t="shared" si="25"/>
        <v>0</v>
      </c>
      <c r="S89" s="308">
        <f t="shared" si="26"/>
        <v>0</v>
      </c>
      <c r="T89" s="302">
        <f t="shared" si="27"/>
        <v>187746.89270788696</v>
      </c>
      <c r="U89" s="312">
        <f t="shared" si="22"/>
        <v>187746.89270788696</v>
      </c>
    </row>
    <row r="90" spans="1:21" x14ac:dyDescent="0.25">
      <c r="A90" s="159">
        <f>Données!A90</f>
        <v>5541</v>
      </c>
      <c r="B90" s="160" t="str">
        <f>Données!B90</f>
        <v>Goumoëns</v>
      </c>
      <c r="C90" s="307">
        <f>Données!C90</f>
        <v>1251</v>
      </c>
      <c r="D90" s="303">
        <f t="shared" si="18"/>
        <v>1000</v>
      </c>
      <c r="E90" s="303">
        <f t="shared" si="23"/>
        <v>251</v>
      </c>
      <c r="F90" s="308">
        <f t="shared" si="29"/>
        <v>0</v>
      </c>
      <c r="G90" s="302">
        <f t="shared" si="29"/>
        <v>0</v>
      </c>
      <c r="H90" s="303">
        <f t="shared" si="29"/>
        <v>0</v>
      </c>
      <c r="I90" s="308">
        <f t="shared" si="29"/>
        <v>0</v>
      </c>
      <c r="J90" s="309">
        <f t="shared" si="19"/>
        <v>0</v>
      </c>
      <c r="K90" s="302"/>
      <c r="L90" s="303">
        <f t="shared" si="20"/>
        <v>-226955.78635014838</v>
      </c>
      <c r="M90" s="308">
        <f t="shared" si="24"/>
        <v>747595.70755722071</v>
      </c>
      <c r="N90" s="310">
        <f t="shared" si="21"/>
        <v>520639.92120707233</v>
      </c>
      <c r="O90" s="302"/>
      <c r="P90" s="311" t="str">
        <f>Données!AC90</f>
        <v/>
      </c>
      <c r="Q90" s="307" t="str">
        <f>Données!AD90</f>
        <v/>
      </c>
      <c r="R90" s="302">
        <f t="shared" si="25"/>
        <v>0</v>
      </c>
      <c r="S90" s="308">
        <f t="shared" si="26"/>
        <v>0</v>
      </c>
      <c r="T90" s="302">
        <f t="shared" si="27"/>
        <v>126547.07046205096</v>
      </c>
      <c r="U90" s="312">
        <f t="shared" si="22"/>
        <v>126547.07046205096</v>
      </c>
    </row>
    <row r="91" spans="1:21" x14ac:dyDescent="0.25">
      <c r="A91" s="159">
        <f>Données!A91</f>
        <v>5551</v>
      </c>
      <c r="B91" s="160" t="str">
        <f>Données!B91</f>
        <v>Bonvillars</v>
      </c>
      <c r="C91" s="307">
        <f>Données!C91</f>
        <v>517</v>
      </c>
      <c r="D91" s="303">
        <f t="shared" si="18"/>
        <v>517</v>
      </c>
      <c r="E91" s="303">
        <f t="shared" si="23"/>
        <v>0</v>
      </c>
      <c r="F91" s="308">
        <f t="shared" si="29"/>
        <v>0</v>
      </c>
      <c r="G91" s="302">
        <f t="shared" si="29"/>
        <v>0</v>
      </c>
      <c r="H91" s="303">
        <f t="shared" si="29"/>
        <v>0</v>
      </c>
      <c r="I91" s="308">
        <f t="shared" si="29"/>
        <v>0</v>
      </c>
      <c r="J91" s="309">
        <f t="shared" si="19"/>
        <v>0</v>
      </c>
      <c r="K91" s="302"/>
      <c r="L91" s="303">
        <f t="shared" si="20"/>
        <v>-68907.764589515325</v>
      </c>
      <c r="M91" s="308">
        <f t="shared" si="24"/>
        <v>308958.4179113374</v>
      </c>
      <c r="N91" s="310">
        <f t="shared" si="21"/>
        <v>240050.65332182206</v>
      </c>
      <c r="O91" s="302"/>
      <c r="P91" s="311" t="str">
        <f>Données!AC91</f>
        <v/>
      </c>
      <c r="Q91" s="307" t="str">
        <f>Données!AD91</f>
        <v/>
      </c>
      <c r="R91" s="302">
        <f t="shared" si="25"/>
        <v>0</v>
      </c>
      <c r="S91" s="308">
        <f t="shared" si="26"/>
        <v>0</v>
      </c>
      <c r="T91" s="302">
        <f t="shared" si="27"/>
        <v>52298.029919168941</v>
      </c>
      <c r="U91" s="312">
        <f t="shared" si="22"/>
        <v>52298.029919168941</v>
      </c>
    </row>
    <row r="92" spans="1:21" x14ac:dyDescent="0.25">
      <c r="A92" s="159">
        <f>Données!A92</f>
        <v>5552</v>
      </c>
      <c r="B92" s="160" t="str">
        <f>Données!B92</f>
        <v>Bullet</v>
      </c>
      <c r="C92" s="307">
        <f>Données!C92</f>
        <v>687</v>
      </c>
      <c r="D92" s="303">
        <f t="shared" si="18"/>
        <v>687</v>
      </c>
      <c r="E92" s="303">
        <f t="shared" si="23"/>
        <v>0</v>
      </c>
      <c r="F92" s="308">
        <f t="shared" si="29"/>
        <v>0</v>
      </c>
      <c r="G92" s="302">
        <f t="shared" si="29"/>
        <v>0</v>
      </c>
      <c r="H92" s="303">
        <f t="shared" si="29"/>
        <v>0</v>
      </c>
      <c r="I92" s="308">
        <f t="shared" si="29"/>
        <v>0</v>
      </c>
      <c r="J92" s="309">
        <f t="shared" si="19"/>
        <v>0</v>
      </c>
      <c r="K92" s="302"/>
      <c r="L92" s="303">
        <f t="shared" si="20"/>
        <v>-91566.023738872405</v>
      </c>
      <c r="M92" s="308">
        <f t="shared" si="24"/>
        <v>410550.16074485262</v>
      </c>
      <c r="N92" s="310">
        <f t="shared" si="21"/>
        <v>318984.13700598024</v>
      </c>
      <c r="O92" s="302"/>
      <c r="P92" s="311" t="str">
        <f>Données!AC92</f>
        <v/>
      </c>
      <c r="Q92" s="307" t="str">
        <f>Données!AD92</f>
        <v/>
      </c>
      <c r="R92" s="302">
        <f t="shared" si="25"/>
        <v>0</v>
      </c>
      <c r="S92" s="308">
        <f t="shared" si="26"/>
        <v>0</v>
      </c>
      <c r="T92" s="302">
        <f t="shared" si="27"/>
        <v>69494.674186593926</v>
      </c>
      <c r="U92" s="312">
        <f t="shared" si="22"/>
        <v>69494.674186593926</v>
      </c>
    </row>
    <row r="93" spans="1:21" x14ac:dyDescent="0.25">
      <c r="A93" s="159">
        <f>Données!A93</f>
        <v>5553</v>
      </c>
      <c r="B93" s="160" t="str">
        <f>Données!B93</f>
        <v>Champagne</v>
      </c>
      <c r="C93" s="307">
        <f>Données!C93</f>
        <v>1087</v>
      </c>
      <c r="D93" s="303">
        <f t="shared" si="18"/>
        <v>1000</v>
      </c>
      <c r="E93" s="303">
        <f t="shared" si="23"/>
        <v>87</v>
      </c>
      <c r="F93" s="308">
        <f t="shared" si="29"/>
        <v>0</v>
      </c>
      <c r="G93" s="302">
        <f t="shared" si="29"/>
        <v>0</v>
      </c>
      <c r="H93" s="303">
        <f t="shared" si="29"/>
        <v>0</v>
      </c>
      <c r="I93" s="308">
        <f t="shared" si="29"/>
        <v>0</v>
      </c>
      <c r="J93" s="309">
        <f t="shared" si="19"/>
        <v>0</v>
      </c>
      <c r="K93" s="302"/>
      <c r="L93" s="303">
        <f t="shared" si="20"/>
        <v>-165751.82987141443</v>
      </c>
      <c r="M93" s="308">
        <f t="shared" si="24"/>
        <v>649589.5556472413</v>
      </c>
      <c r="N93" s="310">
        <f t="shared" si="21"/>
        <v>483837.72577582684</v>
      </c>
      <c r="O93" s="302"/>
      <c r="P93" s="311" t="str">
        <f>Données!AC93</f>
        <v/>
      </c>
      <c r="Q93" s="307" t="str">
        <f>Données!AD93</f>
        <v/>
      </c>
      <c r="R93" s="302">
        <f t="shared" si="25"/>
        <v>0</v>
      </c>
      <c r="S93" s="308">
        <f t="shared" si="26"/>
        <v>0</v>
      </c>
      <c r="T93" s="302">
        <f t="shared" si="27"/>
        <v>109957.36658053509</v>
      </c>
      <c r="U93" s="312">
        <f t="shared" si="22"/>
        <v>109957.36658053509</v>
      </c>
    </row>
    <row r="94" spans="1:21" x14ac:dyDescent="0.25">
      <c r="A94" s="159">
        <f>Données!A94</f>
        <v>5554</v>
      </c>
      <c r="B94" s="160" t="str">
        <f>Données!B94</f>
        <v>Concise</v>
      </c>
      <c r="C94" s="307">
        <f>Données!C94</f>
        <v>1035</v>
      </c>
      <c r="D94" s="303">
        <f t="shared" si="18"/>
        <v>1000</v>
      </c>
      <c r="E94" s="303">
        <f t="shared" si="23"/>
        <v>35</v>
      </c>
      <c r="F94" s="308">
        <f t="shared" si="29"/>
        <v>0</v>
      </c>
      <c r="G94" s="302">
        <f t="shared" si="29"/>
        <v>0</v>
      </c>
      <c r="H94" s="303">
        <f t="shared" si="29"/>
        <v>0</v>
      </c>
      <c r="I94" s="308">
        <f t="shared" si="29"/>
        <v>0</v>
      </c>
      <c r="J94" s="309">
        <f t="shared" si="19"/>
        <v>0</v>
      </c>
      <c r="K94" s="302"/>
      <c r="L94" s="303">
        <f t="shared" si="20"/>
        <v>-146345.69732937685</v>
      </c>
      <c r="M94" s="308">
        <f t="shared" si="24"/>
        <v>618514.43430993077</v>
      </c>
      <c r="N94" s="310">
        <f t="shared" si="21"/>
        <v>472168.73698055395</v>
      </c>
      <c r="O94" s="302"/>
      <c r="P94" s="311" t="str">
        <f>Données!AC94</f>
        <v/>
      </c>
      <c r="Q94" s="307" t="str">
        <f>Données!AD94</f>
        <v/>
      </c>
      <c r="R94" s="302">
        <f t="shared" si="25"/>
        <v>0</v>
      </c>
      <c r="S94" s="308">
        <f t="shared" si="26"/>
        <v>0</v>
      </c>
      <c r="T94" s="302">
        <f t="shared" si="27"/>
        <v>104697.21656932273</v>
      </c>
      <c r="U94" s="312">
        <f t="shared" si="22"/>
        <v>104697.21656932273</v>
      </c>
    </row>
    <row r="95" spans="1:21" x14ac:dyDescent="0.25">
      <c r="A95" s="159">
        <f>Données!A95</f>
        <v>5555</v>
      </c>
      <c r="B95" s="160" t="str">
        <f>Données!B95</f>
        <v>Corcelles-près-Concise</v>
      </c>
      <c r="C95" s="307">
        <f>Données!C95</f>
        <v>439</v>
      </c>
      <c r="D95" s="303">
        <f t="shared" si="18"/>
        <v>439</v>
      </c>
      <c r="E95" s="303">
        <f t="shared" si="23"/>
        <v>0</v>
      </c>
      <c r="F95" s="308">
        <f t="shared" si="29"/>
        <v>0</v>
      </c>
      <c r="G95" s="302">
        <f t="shared" si="29"/>
        <v>0</v>
      </c>
      <c r="H95" s="303">
        <f t="shared" si="29"/>
        <v>0</v>
      </c>
      <c r="I95" s="308">
        <f t="shared" si="29"/>
        <v>0</v>
      </c>
      <c r="J95" s="309">
        <f t="shared" si="19"/>
        <v>0</v>
      </c>
      <c r="K95" s="302"/>
      <c r="L95" s="303">
        <f t="shared" si="20"/>
        <v>-58511.622156280908</v>
      </c>
      <c r="M95" s="308">
        <f t="shared" si="24"/>
        <v>262345.73590537161</v>
      </c>
      <c r="N95" s="310">
        <f t="shared" si="21"/>
        <v>203834.1137490907</v>
      </c>
      <c r="O95" s="302"/>
      <c r="P95" s="311" t="str">
        <f>Données!AC95</f>
        <v/>
      </c>
      <c r="Q95" s="307" t="str">
        <f>Données!AD95</f>
        <v/>
      </c>
      <c r="R95" s="302">
        <f t="shared" si="25"/>
        <v>0</v>
      </c>
      <c r="S95" s="308">
        <f t="shared" si="26"/>
        <v>0</v>
      </c>
      <c r="T95" s="302">
        <f t="shared" si="27"/>
        <v>44407.804902350414</v>
      </c>
      <c r="U95" s="312">
        <f t="shared" si="22"/>
        <v>44407.804902350414</v>
      </c>
    </row>
    <row r="96" spans="1:21" x14ac:dyDescent="0.25">
      <c r="A96" s="159">
        <f>Données!A96</f>
        <v>5556</v>
      </c>
      <c r="B96" s="160" t="str">
        <f>Données!B96</f>
        <v>Fiez</v>
      </c>
      <c r="C96" s="307">
        <f>Données!C96</f>
        <v>421</v>
      </c>
      <c r="D96" s="303">
        <f t="shared" si="18"/>
        <v>421</v>
      </c>
      <c r="E96" s="303">
        <f t="shared" si="23"/>
        <v>0</v>
      </c>
      <c r="F96" s="308">
        <f t="shared" si="29"/>
        <v>0</v>
      </c>
      <c r="G96" s="302">
        <f t="shared" si="29"/>
        <v>0</v>
      </c>
      <c r="H96" s="303">
        <f t="shared" si="29"/>
        <v>0</v>
      </c>
      <c r="I96" s="308">
        <f t="shared" si="29"/>
        <v>0</v>
      </c>
      <c r="J96" s="309">
        <f t="shared" si="19"/>
        <v>0</v>
      </c>
      <c r="K96" s="302"/>
      <c r="L96" s="303">
        <f t="shared" si="20"/>
        <v>-56112.512363996044</v>
      </c>
      <c r="M96" s="308">
        <f t="shared" si="24"/>
        <v>251588.96313476414</v>
      </c>
      <c r="N96" s="310">
        <f t="shared" si="21"/>
        <v>195476.4507707681</v>
      </c>
      <c r="O96" s="302"/>
      <c r="P96" s="311" t="str">
        <f>Données!AC96</f>
        <v/>
      </c>
      <c r="Q96" s="307" t="str">
        <f>Données!AD96</f>
        <v/>
      </c>
      <c r="R96" s="302">
        <f t="shared" si="25"/>
        <v>0</v>
      </c>
      <c r="S96" s="308">
        <f t="shared" si="26"/>
        <v>0</v>
      </c>
      <c r="T96" s="302">
        <f t="shared" si="27"/>
        <v>42586.983744623067</v>
      </c>
      <c r="U96" s="312">
        <f t="shared" si="22"/>
        <v>42586.983744623067</v>
      </c>
    </row>
    <row r="97" spans="1:21" x14ac:dyDescent="0.25">
      <c r="A97" s="159">
        <f>Données!A97</f>
        <v>5557</v>
      </c>
      <c r="B97" s="160" t="str">
        <f>Données!B97</f>
        <v>Fontaines-sur-Grandson</v>
      </c>
      <c r="C97" s="307">
        <f>Données!C97</f>
        <v>228</v>
      </c>
      <c r="D97" s="303">
        <f t="shared" si="18"/>
        <v>228</v>
      </c>
      <c r="E97" s="303">
        <f t="shared" si="23"/>
        <v>0</v>
      </c>
      <c r="F97" s="308">
        <f t="shared" si="29"/>
        <v>0</v>
      </c>
      <c r="G97" s="302">
        <f t="shared" si="29"/>
        <v>0</v>
      </c>
      <c r="H97" s="303">
        <f t="shared" si="29"/>
        <v>0</v>
      </c>
      <c r="I97" s="308">
        <f t="shared" si="29"/>
        <v>0</v>
      </c>
      <c r="J97" s="309">
        <f t="shared" si="19"/>
        <v>0</v>
      </c>
      <c r="K97" s="302"/>
      <c r="L97" s="303">
        <f t="shared" si="20"/>
        <v>-30388.724035608306</v>
      </c>
      <c r="M97" s="308">
        <f t="shared" si="24"/>
        <v>136252.45509436156</v>
      </c>
      <c r="N97" s="310">
        <f t="shared" si="21"/>
        <v>105863.73105875326</v>
      </c>
      <c r="O97" s="302"/>
      <c r="P97" s="311" t="str">
        <f>Données!AC97</f>
        <v/>
      </c>
      <c r="Q97" s="307" t="str">
        <f>Données!AD97</f>
        <v/>
      </c>
      <c r="R97" s="302">
        <f t="shared" si="25"/>
        <v>0</v>
      </c>
      <c r="S97" s="308">
        <f t="shared" si="26"/>
        <v>0</v>
      </c>
      <c r="T97" s="302">
        <f t="shared" si="27"/>
        <v>23063.734664546457</v>
      </c>
      <c r="U97" s="312">
        <f t="shared" si="22"/>
        <v>23063.734664546457</v>
      </c>
    </row>
    <row r="98" spans="1:21" x14ac:dyDescent="0.25">
      <c r="A98" s="159">
        <f>Données!A98</f>
        <v>5559</v>
      </c>
      <c r="B98" s="160" t="str">
        <f>Données!B98</f>
        <v>Giez</v>
      </c>
      <c r="C98" s="307">
        <f>Données!C98</f>
        <v>464</v>
      </c>
      <c r="D98" s="303">
        <f t="shared" si="18"/>
        <v>464</v>
      </c>
      <c r="E98" s="303">
        <f t="shared" si="23"/>
        <v>0</v>
      </c>
      <c r="F98" s="308">
        <f t="shared" si="29"/>
        <v>0</v>
      </c>
      <c r="G98" s="302">
        <f t="shared" si="29"/>
        <v>0</v>
      </c>
      <c r="H98" s="303">
        <f t="shared" si="29"/>
        <v>0</v>
      </c>
      <c r="I98" s="308">
        <f t="shared" si="29"/>
        <v>0</v>
      </c>
      <c r="J98" s="309">
        <f t="shared" si="19"/>
        <v>0</v>
      </c>
      <c r="K98" s="302"/>
      <c r="L98" s="303">
        <f t="shared" si="20"/>
        <v>-61843.719090009887</v>
      </c>
      <c r="M98" s="308">
        <f t="shared" si="24"/>
        <v>277285.69808677089</v>
      </c>
      <c r="N98" s="310">
        <f t="shared" si="21"/>
        <v>215441.978996761</v>
      </c>
      <c r="O98" s="302"/>
      <c r="P98" s="311" t="str">
        <f>Données!AC98</f>
        <v/>
      </c>
      <c r="Q98" s="307" t="str">
        <f>Données!AD98</f>
        <v/>
      </c>
      <c r="R98" s="302">
        <f t="shared" si="25"/>
        <v>0</v>
      </c>
      <c r="S98" s="308">
        <f t="shared" si="26"/>
        <v>0</v>
      </c>
      <c r="T98" s="302">
        <f t="shared" si="27"/>
        <v>46936.72317697174</v>
      </c>
      <c r="U98" s="312">
        <f t="shared" si="22"/>
        <v>46936.72317697174</v>
      </c>
    </row>
    <row r="99" spans="1:21" x14ac:dyDescent="0.25">
      <c r="A99" s="159">
        <f>Données!A99</f>
        <v>5560</v>
      </c>
      <c r="B99" s="160" t="str">
        <f>Données!B99</f>
        <v>Grandevent</v>
      </c>
      <c r="C99" s="307">
        <f>Données!C99</f>
        <v>241</v>
      </c>
      <c r="D99" s="303">
        <f t="shared" si="18"/>
        <v>241</v>
      </c>
      <c r="E99" s="303">
        <f t="shared" si="23"/>
        <v>0</v>
      </c>
      <c r="F99" s="308">
        <f t="shared" ref="F99:I108" si="30">IF($C99&lt;F$4,0,IF($C99&gt;F$5,F$5-F$4,$C99-F$4))</f>
        <v>0</v>
      </c>
      <c r="G99" s="302">
        <f t="shared" si="30"/>
        <v>0</v>
      </c>
      <c r="H99" s="303">
        <f t="shared" si="30"/>
        <v>0</v>
      </c>
      <c r="I99" s="308">
        <f t="shared" si="30"/>
        <v>0</v>
      </c>
      <c r="J99" s="309">
        <f t="shared" si="19"/>
        <v>0</v>
      </c>
      <c r="K99" s="302"/>
      <c r="L99" s="303">
        <f t="shared" si="20"/>
        <v>-32121.414441147375</v>
      </c>
      <c r="M99" s="308">
        <f t="shared" si="24"/>
        <v>144021.23542868919</v>
      </c>
      <c r="N99" s="310">
        <f t="shared" si="21"/>
        <v>111899.82098754181</v>
      </c>
      <c r="O99" s="302"/>
      <c r="P99" s="311" t="str">
        <f>Données!AC99</f>
        <v/>
      </c>
      <c r="Q99" s="307" t="str">
        <f>Données!AD99</f>
        <v/>
      </c>
      <c r="R99" s="302">
        <f t="shared" si="25"/>
        <v>0</v>
      </c>
      <c r="S99" s="308">
        <f t="shared" si="26"/>
        <v>0</v>
      </c>
      <c r="T99" s="302">
        <f t="shared" si="27"/>
        <v>24378.772167349547</v>
      </c>
      <c r="U99" s="312">
        <f t="shared" si="22"/>
        <v>24378.772167349547</v>
      </c>
    </row>
    <row r="100" spans="1:21" x14ac:dyDescent="0.25">
      <c r="A100" s="159">
        <f>Données!A100</f>
        <v>5561</v>
      </c>
      <c r="B100" s="160" t="str">
        <f>Données!B100</f>
        <v>Grandson</v>
      </c>
      <c r="C100" s="307">
        <f>Données!C100</f>
        <v>3391</v>
      </c>
      <c r="D100" s="303">
        <f t="shared" si="18"/>
        <v>1000</v>
      </c>
      <c r="E100" s="303">
        <f t="shared" si="23"/>
        <v>2000</v>
      </c>
      <c r="F100" s="308">
        <f t="shared" si="30"/>
        <v>391</v>
      </c>
      <c r="G100" s="302">
        <f t="shared" si="30"/>
        <v>0</v>
      </c>
      <c r="H100" s="303">
        <f t="shared" si="30"/>
        <v>0</v>
      </c>
      <c r="I100" s="308">
        <f t="shared" si="30"/>
        <v>0</v>
      </c>
      <c r="J100" s="309">
        <f t="shared" si="19"/>
        <v>0</v>
      </c>
      <c r="K100" s="302"/>
      <c r="L100" s="303">
        <f t="shared" si="20"/>
        <v>-1140243.5707220575</v>
      </c>
      <c r="M100" s="308">
        <f t="shared" si="24"/>
        <v>2026456.4702850003</v>
      </c>
      <c r="N100" s="310">
        <f t="shared" si="21"/>
        <v>886212.8995629428</v>
      </c>
      <c r="O100" s="302"/>
      <c r="P100" s="311" t="str">
        <f>Données!AC100</f>
        <v/>
      </c>
      <c r="Q100" s="307" t="str">
        <f>Données!AD100</f>
        <v/>
      </c>
      <c r="R100" s="302">
        <f t="shared" si="25"/>
        <v>0</v>
      </c>
      <c r="S100" s="308">
        <f t="shared" si="26"/>
        <v>0</v>
      </c>
      <c r="T100" s="302">
        <f t="shared" si="27"/>
        <v>343022.47476963612</v>
      </c>
      <c r="U100" s="312">
        <f t="shared" si="22"/>
        <v>343022.47476963612</v>
      </c>
    </row>
    <row r="101" spans="1:21" x14ac:dyDescent="0.25">
      <c r="A101" s="159">
        <f>Données!A101</f>
        <v>5562</v>
      </c>
      <c r="B101" s="160" t="str">
        <f>Données!B101</f>
        <v>Mauborget</v>
      </c>
      <c r="C101" s="307">
        <f>Données!C101</f>
        <v>137</v>
      </c>
      <c r="D101" s="303">
        <f t="shared" si="18"/>
        <v>137</v>
      </c>
      <c r="E101" s="303">
        <f t="shared" si="23"/>
        <v>0</v>
      </c>
      <c r="F101" s="308">
        <f t="shared" si="30"/>
        <v>0</v>
      </c>
      <c r="G101" s="302">
        <f t="shared" si="30"/>
        <v>0</v>
      </c>
      <c r="H101" s="303">
        <f t="shared" si="30"/>
        <v>0</v>
      </c>
      <c r="I101" s="308">
        <f t="shared" si="30"/>
        <v>0</v>
      </c>
      <c r="J101" s="309">
        <f t="shared" si="19"/>
        <v>0</v>
      </c>
      <c r="K101" s="302"/>
      <c r="L101" s="303">
        <f t="shared" si="20"/>
        <v>-18259.891196834815</v>
      </c>
      <c r="M101" s="308">
        <f t="shared" si="24"/>
        <v>81870.992754068138</v>
      </c>
      <c r="N101" s="310">
        <f t="shared" si="21"/>
        <v>63611.101557233327</v>
      </c>
      <c r="O101" s="302"/>
      <c r="P101" s="311" t="str">
        <f>Données!AC101</f>
        <v/>
      </c>
      <c r="Q101" s="307" t="str">
        <f>Données!AD101</f>
        <v/>
      </c>
      <c r="R101" s="302">
        <f t="shared" si="25"/>
        <v>0</v>
      </c>
      <c r="S101" s="308">
        <f t="shared" si="26"/>
        <v>0</v>
      </c>
      <c r="T101" s="302">
        <f t="shared" si="27"/>
        <v>13858.472144924845</v>
      </c>
      <c r="U101" s="312">
        <f t="shared" si="22"/>
        <v>13858.472144924845</v>
      </c>
    </row>
    <row r="102" spans="1:21" x14ac:dyDescent="0.25">
      <c r="A102" s="159">
        <f>Données!A102</f>
        <v>5563</v>
      </c>
      <c r="B102" s="160" t="str">
        <f>Données!B102</f>
        <v>Mutrux</v>
      </c>
      <c r="C102" s="307">
        <f>Données!C102</f>
        <v>138</v>
      </c>
      <c r="D102" s="303">
        <f t="shared" si="18"/>
        <v>138</v>
      </c>
      <c r="E102" s="303">
        <f t="shared" si="23"/>
        <v>0</v>
      </c>
      <c r="F102" s="308">
        <f t="shared" si="30"/>
        <v>0</v>
      </c>
      <c r="G102" s="302">
        <f t="shared" si="30"/>
        <v>0</v>
      </c>
      <c r="H102" s="303">
        <f t="shared" si="30"/>
        <v>0</v>
      </c>
      <c r="I102" s="308">
        <f t="shared" si="30"/>
        <v>0</v>
      </c>
      <c r="J102" s="309">
        <f t="shared" si="19"/>
        <v>0</v>
      </c>
      <c r="K102" s="302"/>
      <c r="L102" s="303">
        <f t="shared" si="20"/>
        <v>-18393.175074183975</v>
      </c>
      <c r="M102" s="308">
        <f t="shared" si="24"/>
        <v>82468.591241324102</v>
      </c>
      <c r="N102" s="310">
        <f t="shared" si="21"/>
        <v>64075.416167140123</v>
      </c>
      <c r="O102" s="302"/>
      <c r="P102" s="311" t="str">
        <f>Données!AC102</f>
        <v/>
      </c>
      <c r="Q102" s="307" t="str">
        <f>Données!AD102</f>
        <v/>
      </c>
      <c r="R102" s="302">
        <f t="shared" si="25"/>
        <v>0</v>
      </c>
      <c r="S102" s="308">
        <f t="shared" si="26"/>
        <v>0</v>
      </c>
      <c r="T102" s="302">
        <f t="shared" si="27"/>
        <v>13959.628875909699</v>
      </c>
      <c r="U102" s="312">
        <f t="shared" si="22"/>
        <v>13959.628875909699</v>
      </c>
    </row>
    <row r="103" spans="1:21" x14ac:dyDescent="0.25">
      <c r="A103" s="159">
        <f>Données!A103</f>
        <v>5564</v>
      </c>
      <c r="B103" s="160" t="str">
        <f>Données!B103</f>
        <v>Novalles</v>
      </c>
      <c r="C103" s="307">
        <f>Données!C103</f>
        <v>105</v>
      </c>
      <c r="D103" s="303">
        <f t="shared" si="18"/>
        <v>105</v>
      </c>
      <c r="E103" s="303">
        <f t="shared" si="23"/>
        <v>0</v>
      </c>
      <c r="F103" s="308">
        <f t="shared" si="30"/>
        <v>0</v>
      </c>
      <c r="G103" s="302">
        <f t="shared" si="30"/>
        <v>0</v>
      </c>
      <c r="H103" s="303">
        <f t="shared" si="30"/>
        <v>0</v>
      </c>
      <c r="I103" s="308">
        <f t="shared" si="30"/>
        <v>0</v>
      </c>
      <c r="J103" s="309">
        <f t="shared" si="19"/>
        <v>0</v>
      </c>
      <c r="K103" s="302"/>
      <c r="L103" s="303">
        <f t="shared" si="20"/>
        <v>-13994.807121661721</v>
      </c>
      <c r="M103" s="308">
        <f t="shared" si="24"/>
        <v>62747.841161877041</v>
      </c>
      <c r="N103" s="310">
        <f t="shared" si="21"/>
        <v>48753.034040215323</v>
      </c>
      <c r="O103" s="302"/>
      <c r="P103" s="311" t="str">
        <f>Données!AC103</f>
        <v/>
      </c>
      <c r="Q103" s="307" t="str">
        <f>Données!AD103</f>
        <v/>
      </c>
      <c r="R103" s="302">
        <f t="shared" si="25"/>
        <v>0</v>
      </c>
      <c r="S103" s="308">
        <f t="shared" si="26"/>
        <v>0</v>
      </c>
      <c r="T103" s="302">
        <f t="shared" si="27"/>
        <v>10621.456753409553</v>
      </c>
      <c r="U103" s="312">
        <f t="shared" si="22"/>
        <v>10621.456753409553</v>
      </c>
    </row>
    <row r="104" spans="1:21" x14ac:dyDescent="0.25">
      <c r="A104" s="159">
        <f>Données!A104</f>
        <v>5565</v>
      </c>
      <c r="B104" s="160" t="str">
        <f>Données!B104</f>
        <v>Onnens</v>
      </c>
      <c r="C104" s="307">
        <f>Données!C104</f>
        <v>527</v>
      </c>
      <c r="D104" s="303">
        <f t="shared" si="18"/>
        <v>527</v>
      </c>
      <c r="E104" s="303">
        <f t="shared" si="23"/>
        <v>0</v>
      </c>
      <c r="F104" s="308">
        <f t="shared" si="30"/>
        <v>0</v>
      </c>
      <c r="G104" s="302">
        <f t="shared" si="30"/>
        <v>0</v>
      </c>
      <c r="H104" s="303">
        <f t="shared" si="30"/>
        <v>0</v>
      </c>
      <c r="I104" s="308">
        <f t="shared" si="30"/>
        <v>0</v>
      </c>
      <c r="J104" s="309">
        <f t="shared" si="19"/>
        <v>0</v>
      </c>
      <c r="K104" s="302"/>
      <c r="L104" s="303">
        <f t="shared" si="20"/>
        <v>-70240.603363006914</v>
      </c>
      <c r="M104" s="308">
        <f t="shared" si="24"/>
        <v>314934.40278389712</v>
      </c>
      <c r="N104" s="310">
        <f t="shared" si="21"/>
        <v>244693.79942089022</v>
      </c>
      <c r="O104" s="302"/>
      <c r="P104" s="311" t="str">
        <f>Données!AC104</f>
        <v/>
      </c>
      <c r="Q104" s="307" t="str">
        <f>Données!AD104</f>
        <v/>
      </c>
      <c r="R104" s="302">
        <f t="shared" si="25"/>
        <v>0</v>
      </c>
      <c r="S104" s="308">
        <f t="shared" si="26"/>
        <v>0</v>
      </c>
      <c r="T104" s="302">
        <f t="shared" si="27"/>
        <v>53309.597229017469</v>
      </c>
      <c r="U104" s="312">
        <f t="shared" si="22"/>
        <v>53309.597229017469</v>
      </c>
    </row>
    <row r="105" spans="1:21" x14ac:dyDescent="0.25">
      <c r="A105" s="159">
        <f>Données!A105</f>
        <v>5566</v>
      </c>
      <c r="B105" s="160" t="str">
        <f>Données!B105</f>
        <v>Provence</v>
      </c>
      <c r="C105" s="307">
        <f>Données!C105</f>
        <v>421</v>
      </c>
      <c r="D105" s="303">
        <f t="shared" si="18"/>
        <v>421</v>
      </c>
      <c r="E105" s="303">
        <f t="shared" si="23"/>
        <v>0</v>
      </c>
      <c r="F105" s="308">
        <f t="shared" si="30"/>
        <v>0</v>
      </c>
      <c r="G105" s="302">
        <f t="shared" si="30"/>
        <v>0</v>
      </c>
      <c r="H105" s="303">
        <f t="shared" si="30"/>
        <v>0</v>
      </c>
      <c r="I105" s="308">
        <f t="shared" si="30"/>
        <v>0</v>
      </c>
      <c r="J105" s="309">
        <f t="shared" si="19"/>
        <v>0</v>
      </c>
      <c r="K105" s="302"/>
      <c r="L105" s="303">
        <f t="shared" si="20"/>
        <v>-56112.512363996044</v>
      </c>
      <c r="M105" s="308">
        <f t="shared" si="24"/>
        <v>251588.96313476414</v>
      </c>
      <c r="N105" s="310">
        <f t="shared" si="21"/>
        <v>195476.4507707681</v>
      </c>
      <c r="O105" s="302"/>
      <c r="P105" s="311" t="str">
        <f>Données!AC105</f>
        <v/>
      </c>
      <c r="Q105" s="307" t="str">
        <f>Données!AD105</f>
        <v/>
      </c>
      <c r="R105" s="302">
        <f t="shared" si="25"/>
        <v>0</v>
      </c>
      <c r="S105" s="308">
        <f t="shared" si="26"/>
        <v>0</v>
      </c>
      <c r="T105" s="302">
        <f t="shared" si="27"/>
        <v>42586.983744623067</v>
      </c>
      <c r="U105" s="312">
        <f t="shared" si="22"/>
        <v>42586.983744623067</v>
      </c>
    </row>
    <row r="106" spans="1:21" x14ac:dyDescent="0.25">
      <c r="A106" s="159">
        <f>Données!A106</f>
        <v>5568</v>
      </c>
      <c r="B106" s="160" t="str">
        <f>Données!B106</f>
        <v>Sainte-Croix</v>
      </c>
      <c r="C106" s="307">
        <f>Données!C106</f>
        <v>5149</v>
      </c>
      <c r="D106" s="303">
        <f t="shared" si="18"/>
        <v>1000</v>
      </c>
      <c r="E106" s="303">
        <f t="shared" si="23"/>
        <v>2000</v>
      </c>
      <c r="F106" s="308">
        <f t="shared" si="30"/>
        <v>2149</v>
      </c>
      <c r="G106" s="302">
        <f t="shared" si="30"/>
        <v>0</v>
      </c>
      <c r="H106" s="303">
        <f t="shared" si="30"/>
        <v>0</v>
      </c>
      <c r="I106" s="308">
        <f t="shared" si="30"/>
        <v>0</v>
      </c>
      <c r="J106" s="309">
        <f t="shared" si="19"/>
        <v>0</v>
      </c>
      <c r="K106" s="302"/>
      <c r="L106" s="303">
        <f t="shared" si="20"/>
        <v>-2311808.8526211674</v>
      </c>
      <c r="M106" s="308">
        <f t="shared" si="24"/>
        <v>3077034.6108809989</v>
      </c>
      <c r="N106" s="310">
        <f t="shared" si="21"/>
        <v>765225.75825983146</v>
      </c>
      <c r="O106" s="302"/>
      <c r="P106" s="311" t="str">
        <f>Données!AC106</f>
        <v/>
      </c>
      <c r="Q106" s="307" t="str">
        <f>Données!AD106</f>
        <v/>
      </c>
      <c r="R106" s="302">
        <f t="shared" si="25"/>
        <v>0</v>
      </c>
      <c r="S106" s="308">
        <f t="shared" si="26"/>
        <v>0</v>
      </c>
      <c r="T106" s="302">
        <f t="shared" si="27"/>
        <v>520856.00784100749</v>
      </c>
      <c r="U106" s="312">
        <f t="shared" si="22"/>
        <v>520856.00784100749</v>
      </c>
    </row>
    <row r="107" spans="1:21" x14ac:dyDescent="0.25">
      <c r="A107" s="159">
        <f>Données!A107</f>
        <v>5571</v>
      </c>
      <c r="B107" s="160" t="str">
        <f>Données!B107</f>
        <v>Tévenon</v>
      </c>
      <c r="C107" s="307">
        <f>Données!C107</f>
        <v>857</v>
      </c>
      <c r="D107" s="303">
        <f t="shared" si="18"/>
        <v>857</v>
      </c>
      <c r="E107" s="303">
        <f t="shared" si="23"/>
        <v>0</v>
      </c>
      <c r="F107" s="308">
        <f t="shared" si="30"/>
        <v>0</v>
      </c>
      <c r="G107" s="302">
        <f t="shared" si="30"/>
        <v>0</v>
      </c>
      <c r="H107" s="303">
        <f t="shared" si="30"/>
        <v>0</v>
      </c>
      <c r="I107" s="308">
        <f t="shared" si="30"/>
        <v>0</v>
      </c>
      <c r="J107" s="309">
        <f t="shared" si="19"/>
        <v>0</v>
      </c>
      <c r="K107" s="302"/>
      <c r="L107" s="303">
        <f t="shared" si="20"/>
        <v>-114224.28288822947</v>
      </c>
      <c r="M107" s="308">
        <f t="shared" si="24"/>
        <v>512141.90357836784</v>
      </c>
      <c r="N107" s="310">
        <f t="shared" si="21"/>
        <v>397917.62069013837</v>
      </c>
      <c r="O107" s="302"/>
      <c r="P107" s="311" t="str">
        <f>Données!AC107</f>
        <v/>
      </c>
      <c r="Q107" s="307" t="str">
        <f>Données!AD107</f>
        <v/>
      </c>
      <c r="R107" s="302">
        <f t="shared" si="25"/>
        <v>0</v>
      </c>
      <c r="S107" s="308">
        <f t="shared" si="26"/>
        <v>0</v>
      </c>
      <c r="T107" s="302">
        <f t="shared" si="27"/>
        <v>86691.318454018925</v>
      </c>
      <c r="U107" s="312">
        <f t="shared" si="22"/>
        <v>86691.318454018925</v>
      </c>
    </row>
    <row r="108" spans="1:21" x14ac:dyDescent="0.25">
      <c r="A108" s="159">
        <f>Données!A108</f>
        <v>5581</v>
      </c>
      <c r="B108" s="160" t="str">
        <f>Données!B108</f>
        <v>Belmont-sur-Lausanne</v>
      </c>
      <c r="C108" s="307">
        <f>Données!C108</f>
        <v>3891</v>
      </c>
      <c r="D108" s="303">
        <f t="shared" si="18"/>
        <v>1000</v>
      </c>
      <c r="E108" s="303">
        <f t="shared" si="23"/>
        <v>2000</v>
      </c>
      <c r="F108" s="308">
        <f t="shared" si="30"/>
        <v>891</v>
      </c>
      <c r="G108" s="302">
        <f t="shared" si="30"/>
        <v>0</v>
      </c>
      <c r="H108" s="303">
        <f t="shared" si="30"/>
        <v>0</v>
      </c>
      <c r="I108" s="308">
        <f t="shared" si="30"/>
        <v>0</v>
      </c>
      <c r="J108" s="309">
        <f t="shared" si="19"/>
        <v>0</v>
      </c>
      <c r="K108" s="302"/>
      <c r="L108" s="303">
        <f t="shared" si="20"/>
        <v>-1473453.2640949555</v>
      </c>
      <c r="M108" s="308">
        <f t="shared" si="24"/>
        <v>2325255.7139129862</v>
      </c>
      <c r="N108" s="310">
        <f t="shared" si="21"/>
        <v>851802.4498180307</v>
      </c>
      <c r="O108" s="302"/>
      <c r="P108" s="311">
        <f>Données!AC108</f>
        <v>1566933.96</v>
      </c>
      <c r="Q108" s="307">
        <f>Données!AD108</f>
        <v>-217422.07</v>
      </c>
      <c r="R108" s="302">
        <f t="shared" si="25"/>
        <v>1349511.89</v>
      </c>
      <c r="S108" s="308">
        <f t="shared" si="26"/>
        <v>-809707.13399999996</v>
      </c>
      <c r="T108" s="302">
        <f t="shared" si="27"/>
        <v>393600.84026206256</v>
      </c>
      <c r="U108" s="312">
        <f t="shared" si="22"/>
        <v>-416106.29373793741</v>
      </c>
    </row>
    <row r="109" spans="1:21" x14ac:dyDescent="0.25">
      <c r="A109" s="159">
        <f>Données!A109</f>
        <v>5582</v>
      </c>
      <c r="B109" s="160" t="str">
        <f>Données!B109</f>
        <v>Cheseaux-sur-Lausanne</v>
      </c>
      <c r="C109" s="307">
        <f>Données!C109</f>
        <v>4870</v>
      </c>
      <c r="D109" s="303">
        <f t="shared" si="18"/>
        <v>1000</v>
      </c>
      <c r="E109" s="303">
        <f t="shared" si="23"/>
        <v>2000</v>
      </c>
      <c r="F109" s="308">
        <f t="shared" ref="F109:I118" si="31">IF($C109&lt;F$4,0,IF($C109&gt;F$5,F$5-F$4,$C109-F$4))</f>
        <v>1870</v>
      </c>
      <c r="G109" s="302">
        <f t="shared" si="31"/>
        <v>0</v>
      </c>
      <c r="H109" s="303">
        <f t="shared" si="31"/>
        <v>0</v>
      </c>
      <c r="I109" s="308">
        <f t="shared" si="31"/>
        <v>0</v>
      </c>
      <c r="J109" s="309">
        <f t="shared" si="19"/>
        <v>0</v>
      </c>
      <c r="K109" s="302"/>
      <c r="L109" s="303">
        <f t="shared" si="20"/>
        <v>-2125877.8437190899</v>
      </c>
      <c r="M109" s="308">
        <f t="shared" si="24"/>
        <v>2910304.6329365829</v>
      </c>
      <c r="N109" s="310">
        <f t="shared" si="21"/>
        <v>784426.78921749303</v>
      </c>
      <c r="O109" s="302"/>
      <c r="P109" s="311" t="str">
        <f>Données!AC109</f>
        <v/>
      </c>
      <c r="Q109" s="307" t="str">
        <f>Données!AD109</f>
        <v/>
      </c>
      <c r="R109" s="302">
        <f t="shared" si="25"/>
        <v>0</v>
      </c>
      <c r="S109" s="308">
        <f t="shared" si="26"/>
        <v>0</v>
      </c>
      <c r="T109" s="302">
        <f t="shared" si="27"/>
        <v>492633.27989623352</v>
      </c>
      <c r="U109" s="312">
        <f t="shared" si="22"/>
        <v>492633.27989623352</v>
      </c>
    </row>
    <row r="110" spans="1:21" x14ac:dyDescent="0.25">
      <c r="A110" s="159">
        <f>Données!A110</f>
        <v>5583</v>
      </c>
      <c r="B110" s="160" t="str">
        <f>Données!B110</f>
        <v>Crissier</v>
      </c>
      <c r="C110" s="307">
        <f>Données!C110</f>
        <v>11116</v>
      </c>
      <c r="D110" s="303">
        <f t="shared" si="18"/>
        <v>1000</v>
      </c>
      <c r="E110" s="303">
        <f t="shared" si="23"/>
        <v>2000</v>
      </c>
      <c r="F110" s="308">
        <f t="shared" si="31"/>
        <v>8116</v>
      </c>
      <c r="G110" s="302">
        <f t="shared" si="31"/>
        <v>0</v>
      </c>
      <c r="H110" s="303">
        <f t="shared" si="31"/>
        <v>0</v>
      </c>
      <c r="I110" s="308">
        <f t="shared" si="31"/>
        <v>0</v>
      </c>
      <c r="J110" s="309">
        <f t="shared" si="19"/>
        <v>0</v>
      </c>
      <c r="K110" s="302"/>
      <c r="L110" s="303">
        <f t="shared" si="20"/>
        <v>-6288333.333333333</v>
      </c>
      <c r="M110" s="308">
        <f t="shared" si="24"/>
        <v>6642904.7843373828</v>
      </c>
      <c r="N110" s="310">
        <f t="shared" si="21"/>
        <v>354571.45100404974</v>
      </c>
      <c r="O110" s="302"/>
      <c r="P110" s="311">
        <f>Données!AC110</f>
        <v>5260710</v>
      </c>
      <c r="Q110" s="307">
        <f>Données!AD110</f>
        <v>-563839</v>
      </c>
      <c r="R110" s="302">
        <f t="shared" si="25"/>
        <v>4696871</v>
      </c>
      <c r="S110" s="308">
        <f t="shared" si="26"/>
        <v>-2818122.6</v>
      </c>
      <c r="T110" s="302">
        <f t="shared" si="27"/>
        <v>1124458.2216276247</v>
      </c>
      <c r="U110" s="312">
        <f t="shared" si="22"/>
        <v>-1693664.3783723754</v>
      </c>
    </row>
    <row r="111" spans="1:21" x14ac:dyDescent="0.25">
      <c r="A111" s="159">
        <f>Données!A111</f>
        <v>5584</v>
      </c>
      <c r="B111" s="160" t="str">
        <f>Données!B111</f>
        <v>Epalinges</v>
      </c>
      <c r="C111" s="307">
        <f>Données!C111</f>
        <v>9869</v>
      </c>
      <c r="D111" s="303">
        <f t="shared" si="18"/>
        <v>1000</v>
      </c>
      <c r="E111" s="303">
        <f t="shared" si="23"/>
        <v>2000</v>
      </c>
      <c r="F111" s="308">
        <f t="shared" si="31"/>
        <v>6869</v>
      </c>
      <c r="G111" s="302">
        <f t="shared" si="31"/>
        <v>0</v>
      </c>
      <c r="H111" s="303">
        <f t="shared" si="31"/>
        <v>0</v>
      </c>
      <c r="I111" s="308">
        <f t="shared" si="31"/>
        <v>0</v>
      </c>
      <c r="J111" s="309">
        <f t="shared" si="19"/>
        <v>0</v>
      </c>
      <c r="K111" s="302"/>
      <c r="L111" s="303">
        <f t="shared" si="20"/>
        <v>-5457308.3580613248</v>
      </c>
      <c r="M111" s="308">
        <f t="shared" si="24"/>
        <v>5897699.4707291862</v>
      </c>
      <c r="N111" s="310">
        <f t="shared" si="21"/>
        <v>440391.11266786139</v>
      </c>
      <c r="O111" s="302"/>
      <c r="P111" s="311">
        <f>Données!AC111</f>
        <v>4801233</v>
      </c>
      <c r="Q111" s="307">
        <f>Données!AD111</f>
        <v>-663252.6</v>
      </c>
      <c r="R111" s="302">
        <f t="shared" si="25"/>
        <v>4137980.4</v>
      </c>
      <c r="S111" s="308">
        <f t="shared" si="26"/>
        <v>-2482788.2399999998</v>
      </c>
      <c r="T111" s="302">
        <f t="shared" si="27"/>
        <v>998315.77808951307</v>
      </c>
      <c r="U111" s="312">
        <f t="shared" si="22"/>
        <v>-1484472.4619104867</v>
      </c>
    </row>
    <row r="112" spans="1:21" x14ac:dyDescent="0.25">
      <c r="A112" s="159">
        <f>Données!A112</f>
        <v>5585</v>
      </c>
      <c r="B112" s="160" t="str">
        <f>Données!B112</f>
        <v>Jouxtens-Mézery</v>
      </c>
      <c r="C112" s="307">
        <f>Données!C112</f>
        <v>1455</v>
      </c>
      <c r="D112" s="303">
        <f t="shared" si="18"/>
        <v>1000</v>
      </c>
      <c r="E112" s="303">
        <f t="shared" si="23"/>
        <v>455</v>
      </c>
      <c r="F112" s="308">
        <f t="shared" si="31"/>
        <v>0</v>
      </c>
      <c r="G112" s="302">
        <f t="shared" si="31"/>
        <v>0</v>
      </c>
      <c r="H112" s="303">
        <f t="shared" si="31"/>
        <v>0</v>
      </c>
      <c r="I112" s="308">
        <f t="shared" si="31"/>
        <v>0</v>
      </c>
      <c r="J112" s="309">
        <f t="shared" si="19"/>
        <v>0</v>
      </c>
      <c r="K112" s="302"/>
      <c r="L112" s="303">
        <f t="shared" si="20"/>
        <v>-303087.53709198814</v>
      </c>
      <c r="M112" s="308">
        <f t="shared" si="24"/>
        <v>869505.79895743902</v>
      </c>
      <c r="N112" s="310">
        <f t="shared" si="21"/>
        <v>566418.26186545088</v>
      </c>
      <c r="O112" s="302"/>
      <c r="P112" s="311" t="str">
        <f>Données!AC112</f>
        <v/>
      </c>
      <c r="Q112" s="307" t="str">
        <f>Données!AD112</f>
        <v/>
      </c>
      <c r="R112" s="302">
        <f t="shared" si="25"/>
        <v>0</v>
      </c>
      <c r="S112" s="308">
        <f t="shared" si="26"/>
        <v>0</v>
      </c>
      <c r="T112" s="302">
        <f t="shared" si="27"/>
        <v>147183.04358296093</v>
      </c>
      <c r="U112" s="312">
        <f t="shared" si="22"/>
        <v>147183.04358296093</v>
      </c>
    </row>
    <row r="113" spans="1:21" x14ac:dyDescent="0.25">
      <c r="A113" s="159">
        <f>Données!A113</f>
        <v>5586</v>
      </c>
      <c r="B113" s="160" t="str">
        <f>Données!B113</f>
        <v>Lausanne</v>
      </c>
      <c r="C113" s="307">
        <f>Données!C113</f>
        <v>145707</v>
      </c>
      <c r="D113" s="303">
        <f t="shared" si="18"/>
        <v>1000</v>
      </c>
      <c r="E113" s="303">
        <f t="shared" si="23"/>
        <v>2000</v>
      </c>
      <c r="F113" s="308">
        <f t="shared" si="31"/>
        <v>9000</v>
      </c>
      <c r="G113" s="302">
        <f t="shared" si="31"/>
        <v>3000</v>
      </c>
      <c r="H113" s="303">
        <f t="shared" si="31"/>
        <v>15000</v>
      </c>
      <c r="I113" s="308">
        <f t="shared" si="31"/>
        <v>15000</v>
      </c>
      <c r="J113" s="309">
        <f t="shared" si="19"/>
        <v>100707</v>
      </c>
      <c r="K113" s="302"/>
      <c r="L113" s="303">
        <f t="shared" si="20"/>
        <v>-167951600.29673591</v>
      </c>
      <c r="M113" s="308">
        <f t="shared" si="24"/>
        <v>87074282.782605886</v>
      </c>
      <c r="N113" s="310">
        <f t="shared" si="21"/>
        <v>-80877317.514130026</v>
      </c>
      <c r="O113" s="302"/>
      <c r="P113" s="311">
        <f>Données!AC113</f>
        <v>64092282.960000001</v>
      </c>
      <c r="Q113" s="307">
        <f>Données!AD113</f>
        <v>-9131482</v>
      </c>
      <c r="R113" s="302">
        <f t="shared" si="25"/>
        <v>54960800.960000001</v>
      </c>
      <c r="S113" s="308">
        <f t="shared" si="26"/>
        <v>-32976480.575999998</v>
      </c>
      <c r="T113" s="302">
        <f t="shared" si="27"/>
        <v>14739243.801609959</v>
      </c>
      <c r="U113" s="312">
        <f t="shared" si="22"/>
        <v>-18237236.774390038</v>
      </c>
    </row>
    <row r="114" spans="1:21" x14ac:dyDescent="0.25">
      <c r="A114" s="159">
        <f>Données!A114</f>
        <v>5587</v>
      </c>
      <c r="B114" s="160" t="str">
        <f>Données!B114</f>
        <v>Le Mont-sur-Lausanne</v>
      </c>
      <c r="C114" s="307">
        <f>Données!C114</f>
        <v>9785</v>
      </c>
      <c r="D114" s="303">
        <f t="shared" si="18"/>
        <v>1000</v>
      </c>
      <c r="E114" s="303">
        <f t="shared" si="23"/>
        <v>2000</v>
      </c>
      <c r="F114" s="308">
        <f t="shared" si="31"/>
        <v>6785</v>
      </c>
      <c r="G114" s="302">
        <f t="shared" si="31"/>
        <v>0</v>
      </c>
      <c r="H114" s="303">
        <f t="shared" si="31"/>
        <v>0</v>
      </c>
      <c r="I114" s="308">
        <f t="shared" si="31"/>
        <v>0</v>
      </c>
      <c r="J114" s="309">
        <f t="shared" si="19"/>
        <v>0</v>
      </c>
      <c r="K114" s="302"/>
      <c r="L114" s="303">
        <f t="shared" si="20"/>
        <v>-5401329.1295746779</v>
      </c>
      <c r="M114" s="308">
        <f t="shared" si="24"/>
        <v>5847501.1977996845</v>
      </c>
      <c r="N114" s="310">
        <f t="shared" si="21"/>
        <v>446172.06822500657</v>
      </c>
      <c r="O114" s="302"/>
      <c r="P114" s="311">
        <f>Données!AC114</f>
        <v>3083742.96</v>
      </c>
      <c r="Q114" s="307">
        <f>Données!AD114</f>
        <v>-551035</v>
      </c>
      <c r="R114" s="302">
        <f t="shared" si="25"/>
        <v>2532707.96</v>
      </c>
      <c r="S114" s="308">
        <f t="shared" si="26"/>
        <v>-1519624.7759999998</v>
      </c>
      <c r="T114" s="302">
        <f t="shared" si="27"/>
        <v>989818.61268678552</v>
      </c>
      <c r="U114" s="312">
        <f t="shared" si="22"/>
        <v>-529806.16331321432</v>
      </c>
    </row>
    <row r="115" spans="1:21" x14ac:dyDescent="0.25">
      <c r="A115" s="159">
        <f>Données!A115</f>
        <v>5588</v>
      </c>
      <c r="B115" s="160" t="str">
        <f>Données!B115</f>
        <v>Paudex</v>
      </c>
      <c r="C115" s="307">
        <f>Données!C115</f>
        <v>1483</v>
      </c>
      <c r="D115" s="303">
        <f t="shared" si="18"/>
        <v>1000</v>
      </c>
      <c r="E115" s="303">
        <f t="shared" si="23"/>
        <v>483</v>
      </c>
      <c r="F115" s="308">
        <f t="shared" si="31"/>
        <v>0</v>
      </c>
      <c r="G115" s="302">
        <f t="shared" si="31"/>
        <v>0</v>
      </c>
      <c r="H115" s="303">
        <f t="shared" si="31"/>
        <v>0</v>
      </c>
      <c r="I115" s="308">
        <f t="shared" si="31"/>
        <v>0</v>
      </c>
      <c r="J115" s="309">
        <f t="shared" si="19"/>
        <v>0</v>
      </c>
      <c r="K115" s="302"/>
      <c r="L115" s="303">
        <f t="shared" si="20"/>
        <v>-313536.99307616218</v>
      </c>
      <c r="M115" s="308">
        <f t="shared" si="24"/>
        <v>886238.55660060619</v>
      </c>
      <c r="N115" s="310">
        <f t="shared" si="21"/>
        <v>572701.56352444401</v>
      </c>
      <c r="O115" s="302"/>
      <c r="P115" s="311">
        <f>Données!AC115</f>
        <v>546318.96</v>
      </c>
      <c r="Q115" s="307">
        <f>Données!AD115</f>
        <v>-87554</v>
      </c>
      <c r="R115" s="302">
        <f t="shared" si="25"/>
        <v>458764.95999999996</v>
      </c>
      <c r="S115" s="308">
        <f t="shared" si="26"/>
        <v>-275258.97599999997</v>
      </c>
      <c r="T115" s="302">
        <f t="shared" si="27"/>
        <v>150015.43205053682</v>
      </c>
      <c r="U115" s="312">
        <f t="shared" si="22"/>
        <v>-125243.54394946314</v>
      </c>
    </row>
    <row r="116" spans="1:21" x14ac:dyDescent="0.25">
      <c r="A116" s="159">
        <f>Données!A116</f>
        <v>5589</v>
      </c>
      <c r="B116" s="160" t="str">
        <f>Données!B116</f>
        <v>Prilly</v>
      </c>
      <c r="C116" s="307">
        <f>Données!C116</f>
        <v>13069</v>
      </c>
      <c r="D116" s="303">
        <f t="shared" si="18"/>
        <v>1000</v>
      </c>
      <c r="E116" s="303">
        <f t="shared" si="23"/>
        <v>2000</v>
      </c>
      <c r="F116" s="308">
        <f t="shared" si="31"/>
        <v>9000</v>
      </c>
      <c r="G116" s="302">
        <f t="shared" si="31"/>
        <v>1069</v>
      </c>
      <c r="H116" s="303">
        <f t="shared" si="31"/>
        <v>0</v>
      </c>
      <c r="I116" s="308">
        <f t="shared" si="31"/>
        <v>0</v>
      </c>
      <c r="J116" s="309">
        <f t="shared" si="19"/>
        <v>0</v>
      </c>
      <c r="K116" s="302"/>
      <c r="L116" s="303">
        <f t="shared" si="20"/>
        <v>-8017291.7903066268</v>
      </c>
      <c r="M116" s="308">
        <f t="shared" si="24"/>
        <v>7810014.6299482957</v>
      </c>
      <c r="N116" s="310">
        <f t="shared" si="21"/>
        <v>-207277.16035833117</v>
      </c>
      <c r="O116" s="302"/>
      <c r="P116" s="311">
        <f>Données!AC116</f>
        <v>4163331</v>
      </c>
      <c r="Q116" s="307">
        <f>Données!AD116</f>
        <v>-499716</v>
      </c>
      <c r="R116" s="302">
        <f t="shared" si="25"/>
        <v>3663615</v>
      </c>
      <c r="S116" s="308">
        <f t="shared" si="26"/>
        <v>-2198169</v>
      </c>
      <c r="T116" s="302">
        <f t="shared" si="27"/>
        <v>1322017.3172410424</v>
      </c>
      <c r="U116" s="312">
        <f t="shared" si="22"/>
        <v>-876151.68275895761</v>
      </c>
    </row>
    <row r="117" spans="1:21" x14ac:dyDescent="0.25">
      <c r="A117" s="159">
        <f>Données!A117</f>
        <v>5590</v>
      </c>
      <c r="B117" s="160" t="str">
        <f>Données!B117</f>
        <v>Pully</v>
      </c>
      <c r="C117" s="307">
        <f>Données!C117</f>
        <v>19550</v>
      </c>
      <c r="D117" s="303">
        <f t="shared" si="18"/>
        <v>1000</v>
      </c>
      <c r="E117" s="303">
        <f t="shared" si="23"/>
        <v>2000</v>
      </c>
      <c r="F117" s="308">
        <f t="shared" si="31"/>
        <v>9000</v>
      </c>
      <c r="G117" s="302">
        <f t="shared" si="31"/>
        <v>3000</v>
      </c>
      <c r="H117" s="303">
        <f t="shared" si="31"/>
        <v>4550</v>
      </c>
      <c r="I117" s="308">
        <f t="shared" si="31"/>
        <v>0</v>
      </c>
      <c r="J117" s="309">
        <f t="shared" si="19"/>
        <v>0</v>
      </c>
      <c r="K117" s="302"/>
      <c r="L117" s="303">
        <f t="shared" si="20"/>
        <v>-15170370.919881305</v>
      </c>
      <c r="M117" s="308">
        <f t="shared" si="24"/>
        <v>11683050.425854249</v>
      </c>
      <c r="N117" s="310">
        <f t="shared" si="21"/>
        <v>-3487320.4940270558</v>
      </c>
      <c r="O117" s="302"/>
      <c r="P117" s="311">
        <f>Données!AC117</f>
        <v>9951231</v>
      </c>
      <c r="Q117" s="307">
        <f>Données!AD117</f>
        <v>-1394588.01</v>
      </c>
      <c r="R117" s="302">
        <f t="shared" si="25"/>
        <v>8556642.9900000002</v>
      </c>
      <c r="S117" s="308">
        <f t="shared" si="26"/>
        <v>-5133985.7939999998</v>
      </c>
      <c r="T117" s="302">
        <f t="shared" si="27"/>
        <v>1977614.0907538738</v>
      </c>
      <c r="U117" s="312">
        <f t="shared" si="22"/>
        <v>-3156371.703246126</v>
      </c>
    </row>
    <row r="118" spans="1:21" x14ac:dyDescent="0.25">
      <c r="A118" s="159">
        <f>Données!A118</f>
        <v>5591</v>
      </c>
      <c r="B118" s="160" t="str">
        <f>Données!B118</f>
        <v>Renens</v>
      </c>
      <c r="C118" s="307">
        <f>Données!C118</f>
        <v>21827</v>
      </c>
      <c r="D118" s="303">
        <f t="shared" si="18"/>
        <v>1000</v>
      </c>
      <c r="E118" s="303">
        <f t="shared" si="23"/>
        <v>2000</v>
      </c>
      <c r="F118" s="308">
        <f t="shared" si="31"/>
        <v>9000</v>
      </c>
      <c r="G118" s="302">
        <f t="shared" si="31"/>
        <v>3000</v>
      </c>
      <c r="H118" s="303">
        <f t="shared" si="31"/>
        <v>6827</v>
      </c>
      <c r="I118" s="308">
        <f t="shared" si="31"/>
        <v>0</v>
      </c>
      <c r="J118" s="309">
        <f t="shared" si="19"/>
        <v>0</v>
      </c>
      <c r="K118" s="302"/>
      <c r="L118" s="303">
        <f t="shared" si="20"/>
        <v>-17719664.985163204</v>
      </c>
      <c r="M118" s="308">
        <f t="shared" si="24"/>
        <v>13043782.181336097</v>
      </c>
      <c r="N118" s="310">
        <f t="shared" si="21"/>
        <v>-4675882.803827107</v>
      </c>
      <c r="O118" s="302"/>
      <c r="P118" s="311">
        <f>Données!AC118</f>
        <v>10294680.960000001</v>
      </c>
      <c r="Q118" s="307">
        <f>Données!AD118</f>
        <v>-1101299</v>
      </c>
      <c r="R118" s="302">
        <f t="shared" si="25"/>
        <v>9193381.9600000009</v>
      </c>
      <c r="S118" s="308">
        <f t="shared" si="26"/>
        <v>-5516029.176</v>
      </c>
      <c r="T118" s="302">
        <f t="shared" si="27"/>
        <v>2207947.9672063841</v>
      </c>
      <c r="U118" s="312">
        <f t="shared" si="22"/>
        <v>-3308081.2087936159</v>
      </c>
    </row>
    <row r="119" spans="1:21" x14ac:dyDescent="0.25">
      <c r="A119" s="159">
        <f>Données!A119</f>
        <v>5592</v>
      </c>
      <c r="B119" s="160" t="str">
        <f>Données!B119</f>
        <v>Romanel-sur-Lausanne</v>
      </c>
      <c r="C119" s="307">
        <f>Données!C119</f>
        <v>4331</v>
      </c>
      <c r="D119" s="303">
        <f t="shared" si="18"/>
        <v>1000</v>
      </c>
      <c r="E119" s="303">
        <f t="shared" si="23"/>
        <v>2000</v>
      </c>
      <c r="F119" s="308">
        <f t="shared" ref="F119:I128" si="32">IF($C119&lt;F$4,0,IF($C119&gt;F$5,F$5-F$4,$C119-F$4))</f>
        <v>1331</v>
      </c>
      <c r="G119" s="302">
        <f t="shared" si="32"/>
        <v>0</v>
      </c>
      <c r="H119" s="303">
        <f t="shared" si="32"/>
        <v>0</v>
      </c>
      <c r="I119" s="308">
        <f t="shared" si="32"/>
        <v>0</v>
      </c>
      <c r="J119" s="309">
        <f t="shared" si="19"/>
        <v>0</v>
      </c>
      <c r="K119" s="302"/>
      <c r="L119" s="303">
        <f t="shared" si="20"/>
        <v>-1766677.7942631058</v>
      </c>
      <c r="M119" s="308">
        <f t="shared" si="24"/>
        <v>2588199.0483056139</v>
      </c>
      <c r="N119" s="310">
        <f t="shared" si="21"/>
        <v>821521.25404250808</v>
      </c>
      <c r="O119" s="302"/>
      <c r="P119" s="311" t="str">
        <f>Données!AC119</f>
        <v/>
      </c>
      <c r="Q119" s="307" t="str">
        <f>Données!AD119</f>
        <v/>
      </c>
      <c r="R119" s="302">
        <f t="shared" si="25"/>
        <v>0</v>
      </c>
      <c r="S119" s="308">
        <f t="shared" si="26"/>
        <v>0</v>
      </c>
      <c r="T119" s="302">
        <f t="shared" si="27"/>
        <v>438109.80189539783</v>
      </c>
      <c r="U119" s="312">
        <f t="shared" si="22"/>
        <v>438109.80189539783</v>
      </c>
    </row>
    <row r="120" spans="1:21" x14ac:dyDescent="0.25">
      <c r="A120" s="159">
        <f>Données!A120</f>
        <v>5601</v>
      </c>
      <c r="B120" s="160" t="str">
        <f>Données!B120</f>
        <v>Chexbres</v>
      </c>
      <c r="C120" s="307">
        <f>Données!C120</f>
        <v>2272</v>
      </c>
      <c r="D120" s="303">
        <f t="shared" si="18"/>
        <v>1000</v>
      </c>
      <c r="E120" s="303">
        <f t="shared" si="23"/>
        <v>1272</v>
      </c>
      <c r="F120" s="308">
        <f t="shared" si="32"/>
        <v>0</v>
      </c>
      <c r="G120" s="302">
        <f t="shared" si="32"/>
        <v>0</v>
      </c>
      <c r="H120" s="303">
        <f t="shared" si="32"/>
        <v>0</v>
      </c>
      <c r="I120" s="308">
        <f t="shared" si="32"/>
        <v>0</v>
      </c>
      <c r="J120" s="309">
        <f t="shared" si="19"/>
        <v>0</v>
      </c>
      <c r="K120" s="302"/>
      <c r="L120" s="303">
        <f t="shared" si="20"/>
        <v>-607987.73491592484</v>
      </c>
      <c r="M120" s="308">
        <f t="shared" si="24"/>
        <v>1357743.763045568</v>
      </c>
      <c r="N120" s="310">
        <f t="shared" si="21"/>
        <v>749756.02812964318</v>
      </c>
      <c r="O120" s="302"/>
      <c r="P120" s="311" t="str">
        <f>Données!AC120</f>
        <v/>
      </c>
      <c r="Q120" s="307" t="str">
        <f>Données!AD120</f>
        <v/>
      </c>
      <c r="R120" s="302">
        <f t="shared" si="25"/>
        <v>0</v>
      </c>
      <c r="S120" s="308">
        <f t="shared" si="26"/>
        <v>0</v>
      </c>
      <c r="T120" s="302">
        <f t="shared" si="27"/>
        <v>229828.09279758576</v>
      </c>
      <c r="U120" s="312">
        <f t="shared" si="22"/>
        <v>229828.09279758576</v>
      </c>
    </row>
    <row r="121" spans="1:21" x14ac:dyDescent="0.25">
      <c r="A121" s="159">
        <f>Données!A121</f>
        <v>5604</v>
      </c>
      <c r="B121" s="160" t="str">
        <f>Données!B121</f>
        <v>Forel (Lavaux)</v>
      </c>
      <c r="C121" s="307">
        <f>Données!C121</f>
        <v>2113</v>
      </c>
      <c r="D121" s="303">
        <f t="shared" si="18"/>
        <v>1000</v>
      </c>
      <c r="E121" s="303">
        <f t="shared" si="23"/>
        <v>1113</v>
      </c>
      <c r="F121" s="308">
        <f t="shared" si="32"/>
        <v>0</v>
      </c>
      <c r="G121" s="302">
        <f t="shared" si="32"/>
        <v>0</v>
      </c>
      <c r="H121" s="303">
        <f t="shared" si="32"/>
        <v>0</v>
      </c>
      <c r="I121" s="308">
        <f t="shared" si="32"/>
        <v>0</v>
      </c>
      <c r="J121" s="309">
        <f t="shared" si="19"/>
        <v>0</v>
      </c>
      <c r="K121" s="302"/>
      <c r="L121" s="303">
        <f t="shared" si="20"/>
        <v>-548649.75272007915</v>
      </c>
      <c r="M121" s="308">
        <f t="shared" si="24"/>
        <v>1262725.6035718685</v>
      </c>
      <c r="N121" s="310">
        <f t="shared" si="21"/>
        <v>714075.85085178935</v>
      </c>
      <c r="O121" s="302"/>
      <c r="P121" s="311" t="str">
        <f>Données!AC121</f>
        <v/>
      </c>
      <c r="Q121" s="307" t="str">
        <f>Données!AD121</f>
        <v/>
      </c>
      <c r="R121" s="302">
        <f t="shared" si="25"/>
        <v>0</v>
      </c>
      <c r="S121" s="308">
        <f t="shared" si="26"/>
        <v>0</v>
      </c>
      <c r="T121" s="302">
        <f t="shared" si="27"/>
        <v>213744.17257099415</v>
      </c>
      <c r="U121" s="312">
        <f t="shared" si="22"/>
        <v>213744.17257099415</v>
      </c>
    </row>
    <row r="122" spans="1:21" x14ac:dyDescent="0.25">
      <c r="A122" s="159">
        <f>Données!A122</f>
        <v>5606</v>
      </c>
      <c r="B122" s="160" t="str">
        <f>Données!B122</f>
        <v>Lutry</v>
      </c>
      <c r="C122" s="307">
        <f>Données!C122</f>
        <v>10843</v>
      </c>
      <c r="D122" s="303">
        <f t="shared" si="18"/>
        <v>1000</v>
      </c>
      <c r="E122" s="303">
        <f t="shared" si="23"/>
        <v>2000</v>
      </c>
      <c r="F122" s="308">
        <f t="shared" si="32"/>
        <v>7843</v>
      </c>
      <c r="G122" s="302">
        <f t="shared" si="32"/>
        <v>0</v>
      </c>
      <c r="H122" s="303">
        <f t="shared" si="32"/>
        <v>0</v>
      </c>
      <c r="I122" s="308">
        <f t="shared" si="32"/>
        <v>0</v>
      </c>
      <c r="J122" s="309">
        <f t="shared" si="19"/>
        <v>0</v>
      </c>
      <c r="K122" s="302"/>
      <c r="L122" s="303">
        <f t="shared" si="20"/>
        <v>-6106400.8407517308</v>
      </c>
      <c r="M122" s="308">
        <f t="shared" si="24"/>
        <v>6479760.3973165024</v>
      </c>
      <c r="N122" s="310">
        <f t="shared" si="21"/>
        <v>373359.55656477157</v>
      </c>
      <c r="O122" s="302"/>
      <c r="P122" s="311">
        <f>Données!AC122</f>
        <v>4719732.96</v>
      </c>
      <c r="Q122" s="307">
        <f>Données!AD122</f>
        <v>-616138</v>
      </c>
      <c r="R122" s="302">
        <f t="shared" si="25"/>
        <v>4103594.96</v>
      </c>
      <c r="S122" s="308">
        <f t="shared" si="26"/>
        <v>-2462156.9759999998</v>
      </c>
      <c r="T122" s="302">
        <f t="shared" si="27"/>
        <v>1096842.4340687599</v>
      </c>
      <c r="U122" s="312">
        <f t="shared" si="22"/>
        <v>-1365314.5419312399</v>
      </c>
    </row>
    <row r="123" spans="1:21" x14ac:dyDescent="0.25">
      <c r="A123" s="159">
        <f>Données!A123</f>
        <v>5607</v>
      </c>
      <c r="B123" s="160" t="str">
        <f>Données!B123</f>
        <v>Puidoux</v>
      </c>
      <c r="C123" s="307">
        <f>Données!C123</f>
        <v>3014</v>
      </c>
      <c r="D123" s="303">
        <f t="shared" si="18"/>
        <v>1000</v>
      </c>
      <c r="E123" s="303">
        <f t="shared" si="23"/>
        <v>2000</v>
      </c>
      <c r="F123" s="308">
        <f t="shared" si="32"/>
        <v>14</v>
      </c>
      <c r="G123" s="302">
        <f t="shared" si="32"/>
        <v>0</v>
      </c>
      <c r="H123" s="303">
        <f t="shared" si="32"/>
        <v>0</v>
      </c>
      <c r="I123" s="308">
        <f t="shared" si="32"/>
        <v>0</v>
      </c>
      <c r="J123" s="309">
        <f t="shared" si="19"/>
        <v>0</v>
      </c>
      <c r="K123" s="302"/>
      <c r="L123" s="303">
        <f t="shared" si="20"/>
        <v>-889003.46191889222</v>
      </c>
      <c r="M123" s="308">
        <f t="shared" si="24"/>
        <v>1801161.8405894991</v>
      </c>
      <c r="N123" s="310">
        <f t="shared" si="21"/>
        <v>912158.37867060688</v>
      </c>
      <c r="O123" s="302"/>
      <c r="P123" s="311" t="str">
        <f>Données!AC123</f>
        <v/>
      </c>
      <c r="Q123" s="307" t="str">
        <f>Données!AD123</f>
        <v/>
      </c>
      <c r="R123" s="302">
        <f t="shared" si="25"/>
        <v>0</v>
      </c>
      <c r="S123" s="308">
        <f t="shared" si="26"/>
        <v>0</v>
      </c>
      <c r="T123" s="302">
        <f t="shared" si="27"/>
        <v>304886.38718834659</v>
      </c>
      <c r="U123" s="312">
        <f t="shared" si="22"/>
        <v>304886.38718834659</v>
      </c>
    </row>
    <row r="124" spans="1:21" x14ac:dyDescent="0.25">
      <c r="A124" s="159">
        <f>Données!A124</f>
        <v>5609</v>
      </c>
      <c r="B124" s="160" t="str">
        <f>Données!B124</f>
        <v>Rivaz</v>
      </c>
      <c r="C124" s="307">
        <f>Données!C124</f>
        <v>330</v>
      </c>
      <c r="D124" s="303">
        <f t="shared" si="18"/>
        <v>330</v>
      </c>
      <c r="E124" s="303">
        <f t="shared" si="23"/>
        <v>0</v>
      </c>
      <c r="F124" s="308">
        <f t="shared" si="32"/>
        <v>0</v>
      </c>
      <c r="G124" s="302">
        <f t="shared" si="32"/>
        <v>0</v>
      </c>
      <c r="H124" s="303">
        <f t="shared" si="32"/>
        <v>0</v>
      </c>
      <c r="I124" s="308">
        <f t="shared" si="32"/>
        <v>0</v>
      </c>
      <c r="J124" s="309">
        <f t="shared" si="19"/>
        <v>0</v>
      </c>
      <c r="K124" s="302"/>
      <c r="L124" s="303">
        <f t="shared" si="20"/>
        <v>-43983.679525222549</v>
      </c>
      <c r="M124" s="308">
        <f t="shared" si="24"/>
        <v>197207.50079447069</v>
      </c>
      <c r="N124" s="310">
        <f t="shared" si="21"/>
        <v>153223.82126924815</v>
      </c>
      <c r="O124" s="302"/>
      <c r="P124" s="311" t="str">
        <f>Données!AC124</f>
        <v/>
      </c>
      <c r="Q124" s="307" t="str">
        <f>Données!AD124</f>
        <v/>
      </c>
      <c r="R124" s="302">
        <f t="shared" si="25"/>
        <v>0</v>
      </c>
      <c r="S124" s="308">
        <f t="shared" si="26"/>
        <v>0</v>
      </c>
      <c r="T124" s="302">
        <f t="shared" si="27"/>
        <v>33381.721225001449</v>
      </c>
      <c r="U124" s="312">
        <f t="shared" si="22"/>
        <v>33381.721225001449</v>
      </c>
    </row>
    <row r="125" spans="1:21" x14ac:dyDescent="0.25">
      <c r="A125" s="159">
        <f>Données!A125</f>
        <v>5610</v>
      </c>
      <c r="B125" s="160" t="str">
        <f>Données!B125</f>
        <v>St-Saphorin (Lavaux)</v>
      </c>
      <c r="C125" s="307">
        <f>Données!C125</f>
        <v>393</v>
      </c>
      <c r="D125" s="303">
        <f t="shared" si="18"/>
        <v>393</v>
      </c>
      <c r="E125" s="303">
        <f t="shared" si="23"/>
        <v>0</v>
      </c>
      <c r="F125" s="308">
        <f t="shared" si="32"/>
        <v>0</v>
      </c>
      <c r="G125" s="302">
        <f t="shared" si="32"/>
        <v>0</v>
      </c>
      <c r="H125" s="303">
        <f t="shared" si="32"/>
        <v>0</v>
      </c>
      <c r="I125" s="308">
        <f t="shared" si="32"/>
        <v>0</v>
      </c>
      <c r="J125" s="309">
        <f t="shared" si="19"/>
        <v>0</v>
      </c>
      <c r="K125" s="302"/>
      <c r="L125" s="303">
        <f t="shared" si="20"/>
        <v>-52380.563798219584</v>
      </c>
      <c r="M125" s="308">
        <f t="shared" si="24"/>
        <v>234856.20549159692</v>
      </c>
      <c r="N125" s="310">
        <f t="shared" si="21"/>
        <v>182475.64169337734</v>
      </c>
      <c r="O125" s="302"/>
      <c r="P125" s="311" t="str">
        <f>Données!AC125</f>
        <v/>
      </c>
      <c r="Q125" s="307" t="str">
        <f>Données!AD125</f>
        <v/>
      </c>
      <c r="R125" s="302">
        <f t="shared" si="25"/>
        <v>0</v>
      </c>
      <c r="S125" s="308">
        <f t="shared" si="26"/>
        <v>0</v>
      </c>
      <c r="T125" s="302">
        <f t="shared" si="27"/>
        <v>39754.595277047185</v>
      </c>
      <c r="U125" s="312">
        <f t="shared" si="22"/>
        <v>39754.595277047185</v>
      </c>
    </row>
    <row r="126" spans="1:21" x14ac:dyDescent="0.25">
      <c r="A126" s="159">
        <f>Données!A126</f>
        <v>5611</v>
      </c>
      <c r="B126" s="160" t="str">
        <f>Données!B126</f>
        <v>Savigny</v>
      </c>
      <c r="C126" s="307">
        <f>Données!C126</f>
        <v>3598</v>
      </c>
      <c r="D126" s="303">
        <f t="shared" si="18"/>
        <v>1000</v>
      </c>
      <c r="E126" s="303">
        <f t="shared" si="23"/>
        <v>2000</v>
      </c>
      <c r="F126" s="308">
        <f t="shared" si="32"/>
        <v>598</v>
      </c>
      <c r="G126" s="302">
        <f t="shared" si="32"/>
        <v>0</v>
      </c>
      <c r="H126" s="303">
        <f t="shared" si="32"/>
        <v>0</v>
      </c>
      <c r="I126" s="308">
        <f t="shared" si="32"/>
        <v>0</v>
      </c>
      <c r="J126" s="309">
        <f t="shared" si="19"/>
        <v>0</v>
      </c>
      <c r="K126" s="302"/>
      <c r="L126" s="303">
        <f t="shared" si="20"/>
        <v>-1278192.3837784373</v>
      </c>
      <c r="M126" s="308">
        <f t="shared" si="24"/>
        <v>2150159.3571469868</v>
      </c>
      <c r="N126" s="310">
        <f t="shared" si="21"/>
        <v>871966.97336854949</v>
      </c>
      <c r="O126" s="302"/>
      <c r="P126" s="311" t="str">
        <f>Données!AC126</f>
        <v/>
      </c>
      <c r="Q126" s="307" t="str">
        <f>Données!AD126</f>
        <v/>
      </c>
      <c r="R126" s="302">
        <f t="shared" si="25"/>
        <v>0</v>
      </c>
      <c r="S126" s="308">
        <f t="shared" si="26"/>
        <v>0</v>
      </c>
      <c r="T126" s="302">
        <f t="shared" si="27"/>
        <v>363961.9180835007</v>
      </c>
      <c r="U126" s="312">
        <f t="shared" si="22"/>
        <v>363961.9180835007</v>
      </c>
    </row>
    <row r="127" spans="1:21" x14ac:dyDescent="0.25">
      <c r="A127" s="159">
        <f>Données!A127</f>
        <v>5613</v>
      </c>
      <c r="B127" s="160" t="str">
        <f>Données!B127</f>
        <v>Bourg-en-Lavaux</v>
      </c>
      <c r="C127" s="307">
        <f>Données!C127</f>
        <v>5558</v>
      </c>
      <c r="D127" s="303">
        <f t="shared" si="18"/>
        <v>1000</v>
      </c>
      <c r="E127" s="303">
        <f t="shared" si="23"/>
        <v>2000</v>
      </c>
      <c r="F127" s="308">
        <f t="shared" si="32"/>
        <v>2558</v>
      </c>
      <c r="G127" s="302">
        <f t="shared" si="32"/>
        <v>0</v>
      </c>
      <c r="H127" s="303">
        <f t="shared" si="32"/>
        <v>0</v>
      </c>
      <c r="I127" s="308">
        <f t="shared" si="32"/>
        <v>0</v>
      </c>
      <c r="J127" s="309">
        <f t="shared" si="19"/>
        <v>0</v>
      </c>
      <c r="K127" s="302"/>
      <c r="L127" s="303">
        <f t="shared" si="20"/>
        <v>-2584374.381800198</v>
      </c>
      <c r="M127" s="308">
        <f t="shared" si="24"/>
        <v>3321452.3921686914</v>
      </c>
      <c r="N127" s="310">
        <f t="shared" si="21"/>
        <v>737078.01036849339</v>
      </c>
      <c r="O127" s="302"/>
      <c r="P127" s="311" t="str">
        <f>Données!AC127</f>
        <v/>
      </c>
      <c r="Q127" s="307" t="str">
        <f>Données!AD127</f>
        <v/>
      </c>
      <c r="R127" s="302">
        <f t="shared" si="25"/>
        <v>0</v>
      </c>
      <c r="S127" s="308">
        <f t="shared" si="26"/>
        <v>0</v>
      </c>
      <c r="T127" s="302">
        <f t="shared" si="27"/>
        <v>562229.11081381235</v>
      </c>
      <c r="U127" s="312">
        <f t="shared" si="22"/>
        <v>562229.11081381235</v>
      </c>
    </row>
    <row r="128" spans="1:21" x14ac:dyDescent="0.25">
      <c r="A128" s="159">
        <f>Données!A128</f>
        <v>5621</v>
      </c>
      <c r="B128" s="160" t="str">
        <f>Données!B128</f>
        <v>Aclens</v>
      </c>
      <c r="C128" s="307">
        <f>Données!C128</f>
        <v>609</v>
      </c>
      <c r="D128" s="303">
        <f t="shared" si="18"/>
        <v>609</v>
      </c>
      <c r="E128" s="303">
        <f t="shared" si="23"/>
        <v>0</v>
      </c>
      <c r="F128" s="308">
        <f t="shared" si="32"/>
        <v>0</v>
      </c>
      <c r="G128" s="302">
        <f t="shared" si="32"/>
        <v>0</v>
      </c>
      <c r="H128" s="303">
        <f t="shared" si="32"/>
        <v>0</v>
      </c>
      <c r="I128" s="308">
        <f t="shared" si="32"/>
        <v>0</v>
      </c>
      <c r="J128" s="309">
        <f t="shared" si="19"/>
        <v>0</v>
      </c>
      <c r="K128" s="302"/>
      <c r="L128" s="303">
        <f t="shared" si="20"/>
        <v>-81169.881305637973</v>
      </c>
      <c r="M128" s="308">
        <f t="shared" si="24"/>
        <v>363937.47873888683</v>
      </c>
      <c r="N128" s="310">
        <f t="shared" si="21"/>
        <v>282767.59743324888</v>
      </c>
      <c r="O128" s="302"/>
      <c r="P128" s="311" t="str">
        <f>Données!AC128</f>
        <v/>
      </c>
      <c r="Q128" s="307" t="str">
        <f>Données!AD128</f>
        <v/>
      </c>
      <c r="R128" s="302">
        <f t="shared" si="25"/>
        <v>0</v>
      </c>
      <c r="S128" s="308">
        <f t="shared" si="26"/>
        <v>0</v>
      </c>
      <c r="T128" s="302">
        <f t="shared" si="27"/>
        <v>61604.449169775406</v>
      </c>
      <c r="U128" s="312">
        <f t="shared" si="22"/>
        <v>61604.449169775406</v>
      </c>
    </row>
    <row r="129" spans="1:21" x14ac:dyDescent="0.25">
      <c r="A129" s="159">
        <f>Données!A129</f>
        <v>5622</v>
      </c>
      <c r="B129" s="160" t="str">
        <f>Données!B129</f>
        <v>Bremblens</v>
      </c>
      <c r="C129" s="307">
        <f>Données!C129</f>
        <v>596</v>
      </c>
      <c r="D129" s="303">
        <f t="shared" si="18"/>
        <v>596</v>
      </c>
      <c r="E129" s="303">
        <f t="shared" si="23"/>
        <v>0</v>
      </c>
      <c r="F129" s="308">
        <f t="shared" ref="F129:I138" si="33">IF($C129&lt;F$4,0,IF($C129&gt;F$5,F$5-F$4,$C129-F$4))</f>
        <v>0</v>
      </c>
      <c r="G129" s="302">
        <f t="shared" si="33"/>
        <v>0</v>
      </c>
      <c r="H129" s="303">
        <f t="shared" si="33"/>
        <v>0</v>
      </c>
      <c r="I129" s="308">
        <f t="shared" si="33"/>
        <v>0</v>
      </c>
      <c r="J129" s="309">
        <f t="shared" si="19"/>
        <v>0</v>
      </c>
      <c r="K129" s="302"/>
      <c r="L129" s="303">
        <f t="shared" si="20"/>
        <v>-79437.190900098911</v>
      </c>
      <c r="M129" s="308">
        <f t="shared" si="24"/>
        <v>356168.69840455917</v>
      </c>
      <c r="N129" s="310">
        <f t="shared" si="21"/>
        <v>276731.50750446029</v>
      </c>
      <c r="O129" s="302"/>
      <c r="P129" s="311" t="str">
        <f>Données!AC129</f>
        <v/>
      </c>
      <c r="Q129" s="307" t="str">
        <f>Données!AD129</f>
        <v/>
      </c>
      <c r="R129" s="302">
        <f t="shared" si="25"/>
        <v>0</v>
      </c>
      <c r="S129" s="308">
        <f t="shared" si="26"/>
        <v>0</v>
      </c>
      <c r="T129" s="302">
        <f t="shared" si="27"/>
        <v>60289.411666972323</v>
      </c>
      <c r="U129" s="312">
        <f t="shared" si="22"/>
        <v>60289.411666972323</v>
      </c>
    </row>
    <row r="130" spans="1:21" x14ac:dyDescent="0.25">
      <c r="A130" s="159">
        <f>Données!A130</f>
        <v>5623</v>
      </c>
      <c r="B130" s="160" t="str">
        <f>Données!B130</f>
        <v>Buchillon</v>
      </c>
      <c r="C130" s="307">
        <f>Données!C130</f>
        <v>682</v>
      </c>
      <c r="D130" s="303">
        <f t="shared" si="18"/>
        <v>682</v>
      </c>
      <c r="E130" s="303">
        <f t="shared" si="23"/>
        <v>0</v>
      </c>
      <c r="F130" s="308">
        <f t="shared" si="33"/>
        <v>0</v>
      </c>
      <c r="G130" s="302">
        <f t="shared" si="33"/>
        <v>0</v>
      </c>
      <c r="H130" s="303">
        <f t="shared" si="33"/>
        <v>0</v>
      </c>
      <c r="I130" s="308">
        <f t="shared" si="33"/>
        <v>0</v>
      </c>
      <c r="J130" s="309">
        <f t="shared" si="19"/>
        <v>0</v>
      </c>
      <c r="K130" s="302"/>
      <c r="L130" s="303">
        <f t="shared" si="20"/>
        <v>-90899.604352126596</v>
      </c>
      <c r="M130" s="308">
        <f t="shared" si="24"/>
        <v>407562.16830857279</v>
      </c>
      <c r="N130" s="310">
        <f t="shared" si="21"/>
        <v>316662.56395644619</v>
      </c>
      <c r="O130" s="302"/>
      <c r="P130" s="311" t="str">
        <f>Données!AC130</f>
        <v/>
      </c>
      <c r="Q130" s="307" t="str">
        <f>Données!AD130</f>
        <v/>
      </c>
      <c r="R130" s="302">
        <f t="shared" si="25"/>
        <v>0</v>
      </c>
      <c r="S130" s="308">
        <f t="shared" si="26"/>
        <v>0</v>
      </c>
      <c r="T130" s="302">
        <f t="shared" si="27"/>
        <v>68988.890531669662</v>
      </c>
      <c r="U130" s="312">
        <f t="shared" si="22"/>
        <v>68988.890531669662</v>
      </c>
    </row>
    <row r="131" spans="1:21" x14ac:dyDescent="0.25">
      <c r="A131" s="159">
        <f>Données!A131</f>
        <v>5624</v>
      </c>
      <c r="B131" s="160" t="str">
        <f>Données!B131</f>
        <v>Bussigny</v>
      </c>
      <c r="C131" s="307">
        <f>Données!C131</f>
        <v>12138</v>
      </c>
      <c r="D131" s="303">
        <f t="shared" si="18"/>
        <v>1000</v>
      </c>
      <c r="E131" s="303">
        <f t="shared" si="23"/>
        <v>2000</v>
      </c>
      <c r="F131" s="308">
        <f t="shared" si="33"/>
        <v>9000</v>
      </c>
      <c r="G131" s="302">
        <f t="shared" si="33"/>
        <v>138</v>
      </c>
      <c r="H131" s="303">
        <f t="shared" si="33"/>
        <v>0</v>
      </c>
      <c r="I131" s="308">
        <f t="shared" si="33"/>
        <v>0</v>
      </c>
      <c r="J131" s="309">
        <f t="shared" si="19"/>
        <v>0</v>
      </c>
      <c r="K131" s="302"/>
      <c r="L131" s="303">
        <f t="shared" si="20"/>
        <v>-7024593.4718100885</v>
      </c>
      <c r="M131" s="308">
        <f t="shared" si="24"/>
        <v>7253650.4383129859</v>
      </c>
      <c r="N131" s="310">
        <f t="shared" si="21"/>
        <v>229056.96650289744</v>
      </c>
      <c r="O131" s="302"/>
      <c r="P131" s="311">
        <f>Données!AC131</f>
        <v>3499545.96</v>
      </c>
      <c r="Q131" s="307">
        <f>Données!AD131</f>
        <v>-401763.87382766278</v>
      </c>
      <c r="R131" s="302">
        <f t="shared" si="25"/>
        <v>3097782.0861723372</v>
      </c>
      <c r="S131" s="308">
        <f t="shared" si="26"/>
        <v>-1858669.2517034023</v>
      </c>
      <c r="T131" s="302">
        <f t="shared" si="27"/>
        <v>1227840.4006941444</v>
      </c>
      <c r="U131" s="312">
        <f t="shared" si="22"/>
        <v>-630828.85100925784</v>
      </c>
    </row>
    <row r="132" spans="1:21" x14ac:dyDescent="0.25">
      <c r="A132" s="159">
        <f>Données!A132</f>
        <v>5627</v>
      </c>
      <c r="B132" s="160" t="str">
        <f>Données!B132</f>
        <v>Chavannes-près-Renens</v>
      </c>
      <c r="C132" s="307">
        <f>Données!C132</f>
        <v>10735</v>
      </c>
      <c r="D132" s="303">
        <f t="shared" si="18"/>
        <v>1000</v>
      </c>
      <c r="E132" s="303">
        <f t="shared" si="23"/>
        <v>2000</v>
      </c>
      <c r="F132" s="308">
        <f t="shared" si="33"/>
        <v>7735</v>
      </c>
      <c r="G132" s="302">
        <f t="shared" si="33"/>
        <v>0</v>
      </c>
      <c r="H132" s="303">
        <f t="shared" si="33"/>
        <v>0</v>
      </c>
      <c r="I132" s="308">
        <f t="shared" si="33"/>
        <v>0</v>
      </c>
      <c r="J132" s="309">
        <f t="shared" si="19"/>
        <v>0</v>
      </c>
      <c r="K132" s="302"/>
      <c r="L132" s="303">
        <f t="shared" si="20"/>
        <v>-6034427.5469831852</v>
      </c>
      <c r="M132" s="308">
        <f t="shared" si="24"/>
        <v>6415219.7606928572</v>
      </c>
      <c r="N132" s="310">
        <f t="shared" si="21"/>
        <v>380792.21370967198</v>
      </c>
      <c r="O132" s="302"/>
      <c r="P132" s="311">
        <f>Données!AC132</f>
        <v>3354534</v>
      </c>
      <c r="Q132" s="307">
        <f>Données!AD132</f>
        <v>-233550</v>
      </c>
      <c r="R132" s="302">
        <f t="shared" si="25"/>
        <v>3120984</v>
      </c>
      <c r="S132" s="308">
        <f t="shared" si="26"/>
        <v>-1872590.4</v>
      </c>
      <c r="T132" s="302">
        <f t="shared" si="27"/>
        <v>1085917.5071223958</v>
      </c>
      <c r="U132" s="312">
        <f t="shared" si="22"/>
        <v>-786672.89287760411</v>
      </c>
    </row>
    <row r="133" spans="1:21" x14ac:dyDescent="0.25">
      <c r="A133" s="159">
        <f>Données!A133</f>
        <v>5628</v>
      </c>
      <c r="B133" s="160" t="str">
        <f>Données!B133</f>
        <v>Chigny</v>
      </c>
      <c r="C133" s="307">
        <f>Données!C133</f>
        <v>410</v>
      </c>
      <c r="D133" s="303">
        <f t="shared" si="18"/>
        <v>410</v>
      </c>
      <c r="E133" s="303">
        <f t="shared" si="23"/>
        <v>0</v>
      </c>
      <c r="F133" s="308">
        <f t="shared" si="33"/>
        <v>0</v>
      </c>
      <c r="G133" s="302">
        <f t="shared" si="33"/>
        <v>0</v>
      </c>
      <c r="H133" s="303">
        <f t="shared" si="33"/>
        <v>0</v>
      </c>
      <c r="I133" s="308">
        <f t="shared" si="33"/>
        <v>0</v>
      </c>
      <c r="J133" s="309">
        <f t="shared" si="19"/>
        <v>0</v>
      </c>
      <c r="K133" s="302"/>
      <c r="L133" s="303">
        <f t="shared" si="20"/>
        <v>-54646.389713155288</v>
      </c>
      <c r="M133" s="308">
        <f t="shared" si="24"/>
        <v>245015.37977494844</v>
      </c>
      <c r="N133" s="310">
        <f t="shared" si="21"/>
        <v>190368.99006179316</v>
      </c>
      <c r="O133" s="302"/>
      <c r="P133" s="311" t="str">
        <f>Données!AC133</f>
        <v/>
      </c>
      <c r="Q133" s="307" t="str">
        <f>Données!AD133</f>
        <v/>
      </c>
      <c r="R133" s="302">
        <f t="shared" si="25"/>
        <v>0</v>
      </c>
      <c r="S133" s="308">
        <f t="shared" si="26"/>
        <v>0</v>
      </c>
      <c r="T133" s="302">
        <f t="shared" si="27"/>
        <v>41474.259703789685</v>
      </c>
      <c r="U133" s="312">
        <f t="shared" si="22"/>
        <v>41474.259703789685</v>
      </c>
    </row>
    <row r="134" spans="1:21" x14ac:dyDescent="0.25">
      <c r="A134" s="159">
        <f>Données!A134</f>
        <v>5629</v>
      </c>
      <c r="B134" s="160" t="str">
        <f>Données!B134</f>
        <v>Clarmont</v>
      </c>
      <c r="C134" s="307">
        <f>Données!C134</f>
        <v>232</v>
      </c>
      <c r="D134" s="303">
        <f t="shared" si="18"/>
        <v>232</v>
      </c>
      <c r="E134" s="303">
        <f t="shared" si="23"/>
        <v>0</v>
      </c>
      <c r="F134" s="308">
        <f t="shared" si="33"/>
        <v>0</v>
      </c>
      <c r="G134" s="302">
        <f t="shared" si="33"/>
        <v>0</v>
      </c>
      <c r="H134" s="303">
        <f t="shared" si="33"/>
        <v>0</v>
      </c>
      <c r="I134" s="308">
        <f t="shared" si="33"/>
        <v>0</v>
      </c>
      <c r="J134" s="309">
        <f t="shared" si="19"/>
        <v>0</v>
      </c>
      <c r="K134" s="302"/>
      <c r="L134" s="303">
        <f t="shared" si="20"/>
        <v>-30921.859545004943</v>
      </c>
      <c r="M134" s="308">
        <f t="shared" si="24"/>
        <v>138642.84904338545</v>
      </c>
      <c r="N134" s="310">
        <f t="shared" si="21"/>
        <v>107720.9894983805</v>
      </c>
      <c r="O134" s="302"/>
      <c r="P134" s="311" t="str">
        <f>Données!AC134</f>
        <v/>
      </c>
      <c r="Q134" s="307" t="str">
        <f>Données!AD134</f>
        <v/>
      </c>
      <c r="R134" s="302">
        <f t="shared" si="25"/>
        <v>0</v>
      </c>
      <c r="S134" s="308">
        <f t="shared" si="26"/>
        <v>0</v>
      </c>
      <c r="T134" s="302">
        <f t="shared" si="27"/>
        <v>23468.36158848587</v>
      </c>
      <c r="U134" s="312">
        <f t="shared" si="22"/>
        <v>23468.36158848587</v>
      </c>
    </row>
    <row r="135" spans="1:21" x14ac:dyDescent="0.25">
      <c r="A135" s="159">
        <f>Données!A135</f>
        <v>5631</v>
      </c>
      <c r="B135" s="160" t="str">
        <f>Données!B135</f>
        <v>Denens</v>
      </c>
      <c r="C135" s="307">
        <f>Données!C135</f>
        <v>748</v>
      </c>
      <c r="D135" s="303">
        <f t="shared" si="18"/>
        <v>748</v>
      </c>
      <c r="E135" s="303">
        <f t="shared" si="23"/>
        <v>0</v>
      </c>
      <c r="F135" s="308">
        <f t="shared" si="33"/>
        <v>0</v>
      </c>
      <c r="G135" s="302">
        <f t="shared" si="33"/>
        <v>0</v>
      </c>
      <c r="H135" s="303">
        <f t="shared" si="33"/>
        <v>0</v>
      </c>
      <c r="I135" s="308">
        <f t="shared" si="33"/>
        <v>0</v>
      </c>
      <c r="J135" s="309">
        <f t="shared" si="19"/>
        <v>0</v>
      </c>
      <c r="K135" s="302"/>
      <c r="L135" s="303">
        <f t="shared" si="20"/>
        <v>-99696.340257171105</v>
      </c>
      <c r="M135" s="308">
        <f t="shared" si="24"/>
        <v>447003.66846746689</v>
      </c>
      <c r="N135" s="310">
        <f t="shared" si="21"/>
        <v>347307.32821029576</v>
      </c>
      <c r="O135" s="302"/>
      <c r="P135" s="311" t="str">
        <f>Données!AC135</f>
        <v/>
      </c>
      <c r="Q135" s="307" t="str">
        <f>Données!AD135</f>
        <v/>
      </c>
      <c r="R135" s="302">
        <f t="shared" si="25"/>
        <v>0</v>
      </c>
      <c r="S135" s="308">
        <f t="shared" si="26"/>
        <v>0</v>
      </c>
      <c r="T135" s="302">
        <f t="shared" si="27"/>
        <v>75665.234776669953</v>
      </c>
      <c r="U135" s="312">
        <f t="shared" si="22"/>
        <v>75665.234776669953</v>
      </c>
    </row>
    <row r="136" spans="1:21" x14ac:dyDescent="0.25">
      <c r="A136" s="159">
        <f>Données!A136</f>
        <v>5632</v>
      </c>
      <c r="B136" s="160" t="str">
        <f>Données!B136</f>
        <v>Denges</v>
      </c>
      <c r="C136" s="307">
        <f>Données!C136</f>
        <v>1844</v>
      </c>
      <c r="D136" s="303">
        <f t="shared" ref="D136:D199" si="34">IF(C136&gt;$D$5,$D$5-$D$4,C136)</f>
        <v>1000</v>
      </c>
      <c r="E136" s="303">
        <f t="shared" si="23"/>
        <v>844</v>
      </c>
      <c r="F136" s="308">
        <f t="shared" si="33"/>
        <v>0</v>
      </c>
      <c r="G136" s="302">
        <f t="shared" si="33"/>
        <v>0</v>
      </c>
      <c r="H136" s="303">
        <f t="shared" si="33"/>
        <v>0</v>
      </c>
      <c r="I136" s="308">
        <f t="shared" si="33"/>
        <v>0</v>
      </c>
      <c r="J136" s="309">
        <f t="shared" ref="J136:J199" si="35">IF($C136&lt;J$4,0,$C136-J$4)</f>
        <v>0</v>
      </c>
      <c r="K136" s="302"/>
      <c r="L136" s="303">
        <f t="shared" ref="L136:L199" si="36">-SUMPRODUCT($D$6:$J$6,D136:J136)</f>
        <v>-448260.3363006924</v>
      </c>
      <c r="M136" s="308">
        <f t="shared" si="24"/>
        <v>1101971.6105000121</v>
      </c>
      <c r="N136" s="310">
        <f t="shared" ref="N136:N199" si="37">SUM(L136:M136)</f>
        <v>653711.27419931965</v>
      </c>
      <c r="O136" s="302"/>
      <c r="P136" s="311">
        <f>Données!AC136</f>
        <v>572242.80750217719</v>
      </c>
      <c r="Q136" s="307">
        <f>Données!AD136</f>
        <v>-57638.32254261378</v>
      </c>
      <c r="R136" s="302">
        <f t="shared" si="25"/>
        <v>514604.48495956342</v>
      </c>
      <c r="S136" s="308">
        <f t="shared" si="26"/>
        <v>-308762.69097573805</v>
      </c>
      <c r="T136" s="302">
        <f t="shared" si="27"/>
        <v>186533.01193606871</v>
      </c>
      <c r="U136" s="312">
        <f t="shared" ref="U136:U199" si="38">S136+T136</f>
        <v>-122229.67903966934</v>
      </c>
    </row>
    <row r="137" spans="1:21" x14ac:dyDescent="0.25">
      <c r="A137" s="159">
        <f>Données!A137</f>
        <v>5633</v>
      </c>
      <c r="B137" s="160" t="str">
        <f>Données!B137</f>
        <v>Echandens</v>
      </c>
      <c r="C137" s="307">
        <f>Données!C137</f>
        <v>3116</v>
      </c>
      <c r="D137" s="303">
        <f t="shared" si="34"/>
        <v>1000</v>
      </c>
      <c r="E137" s="303">
        <f t="shared" ref="E137:E200" si="39">IF(C137&lt;$E$4,0,IF(C137&gt;$E$5,$E$5-$E$4,C137-$E$4))</f>
        <v>2000</v>
      </c>
      <c r="F137" s="308">
        <f t="shared" si="33"/>
        <v>116</v>
      </c>
      <c r="G137" s="302">
        <f t="shared" si="33"/>
        <v>0</v>
      </c>
      <c r="H137" s="303">
        <f t="shared" si="33"/>
        <v>0</v>
      </c>
      <c r="I137" s="308">
        <f t="shared" si="33"/>
        <v>0</v>
      </c>
      <c r="J137" s="309">
        <f t="shared" si="35"/>
        <v>0</v>
      </c>
      <c r="K137" s="302"/>
      <c r="L137" s="303">
        <f t="shared" si="36"/>
        <v>-956978.23936696339</v>
      </c>
      <c r="M137" s="308">
        <f t="shared" ref="M137:M200" si="40">(-$L$6)/($C$308)*C137</f>
        <v>1862116.8862896082</v>
      </c>
      <c r="N137" s="310">
        <f t="shared" si="37"/>
        <v>905138.64692264481</v>
      </c>
      <c r="O137" s="302"/>
      <c r="P137" s="311">
        <f>Données!AC137</f>
        <v>1119194.1514130477</v>
      </c>
      <c r="Q137" s="307">
        <f>Données!AD137</f>
        <v>-110964.19919127203</v>
      </c>
      <c r="R137" s="302">
        <f t="shared" ref="R137:R200" si="41">SUM(P137:Q137)</f>
        <v>1008229.9522217757</v>
      </c>
      <c r="S137" s="308">
        <f t="shared" ref="S137:S200" si="42">-R137*$P$6</f>
        <v>-604937.97133306542</v>
      </c>
      <c r="T137" s="302">
        <f t="shared" ref="T137:T200" si="43">-$S$6/$C$308*C137</f>
        <v>315204.37374880159</v>
      </c>
      <c r="U137" s="312">
        <f t="shared" si="38"/>
        <v>-289733.59758426383</v>
      </c>
    </row>
    <row r="138" spans="1:21" x14ac:dyDescent="0.25">
      <c r="A138" s="159">
        <f>Données!A138</f>
        <v>5634</v>
      </c>
      <c r="B138" s="160" t="str">
        <f>Données!B138</f>
        <v>Echichens</v>
      </c>
      <c r="C138" s="307">
        <f>Données!C138</f>
        <v>3241</v>
      </c>
      <c r="D138" s="303">
        <f t="shared" si="34"/>
        <v>1000</v>
      </c>
      <c r="E138" s="303">
        <f t="shared" si="39"/>
        <v>2000</v>
      </c>
      <c r="F138" s="308">
        <f t="shared" si="33"/>
        <v>241</v>
      </c>
      <c r="G138" s="302">
        <f t="shared" si="33"/>
        <v>0</v>
      </c>
      <c r="H138" s="303">
        <f t="shared" si="33"/>
        <v>0</v>
      </c>
      <c r="I138" s="308">
        <f t="shared" si="33"/>
        <v>0</v>
      </c>
      <c r="J138" s="309">
        <f t="shared" si="35"/>
        <v>0</v>
      </c>
      <c r="K138" s="302"/>
      <c r="L138" s="303">
        <f t="shared" si="36"/>
        <v>-1040280.662710188</v>
      </c>
      <c r="M138" s="308">
        <f t="shared" si="40"/>
        <v>1936816.6971966047</v>
      </c>
      <c r="N138" s="310">
        <f t="shared" si="37"/>
        <v>896536.03448641673</v>
      </c>
      <c r="O138" s="302"/>
      <c r="P138" s="311">
        <f>Données!AC138</f>
        <v>419595.96911947551</v>
      </c>
      <c r="Q138" s="307">
        <f>Données!AD138</f>
        <v>-63666.142016689992</v>
      </c>
      <c r="R138" s="302">
        <f t="shared" si="41"/>
        <v>355929.82710278552</v>
      </c>
      <c r="S138" s="308">
        <f t="shared" si="42"/>
        <v>-213557.8962616713</v>
      </c>
      <c r="T138" s="302">
        <f t="shared" si="43"/>
        <v>327848.96512190817</v>
      </c>
      <c r="U138" s="312">
        <f t="shared" si="38"/>
        <v>114291.06886023688</v>
      </c>
    </row>
    <row r="139" spans="1:21" x14ac:dyDescent="0.25">
      <c r="A139" s="159">
        <f>Données!A139</f>
        <v>5635</v>
      </c>
      <c r="B139" s="160" t="str">
        <f>Données!B139</f>
        <v>Ecublens</v>
      </c>
      <c r="C139" s="307">
        <f>Données!C139</f>
        <v>13758</v>
      </c>
      <c r="D139" s="303">
        <f t="shared" si="34"/>
        <v>1000</v>
      </c>
      <c r="E139" s="303">
        <f t="shared" si="39"/>
        <v>2000</v>
      </c>
      <c r="F139" s="308">
        <f t="shared" ref="F139:I148" si="44">IF($C139&lt;F$4,0,IF($C139&gt;F$5,F$5-F$4,$C139-F$4))</f>
        <v>9000</v>
      </c>
      <c r="G139" s="302">
        <f t="shared" si="44"/>
        <v>1758</v>
      </c>
      <c r="H139" s="303">
        <f t="shared" si="44"/>
        <v>0</v>
      </c>
      <c r="I139" s="308">
        <f t="shared" si="44"/>
        <v>0</v>
      </c>
      <c r="J139" s="309">
        <f t="shared" si="35"/>
        <v>0</v>
      </c>
      <c r="K139" s="302"/>
      <c r="L139" s="303">
        <f t="shared" si="36"/>
        <v>-8751952.5222551916</v>
      </c>
      <c r="M139" s="308">
        <f t="shared" si="40"/>
        <v>8221759.9876676602</v>
      </c>
      <c r="N139" s="310">
        <f t="shared" si="37"/>
        <v>-530192.53458753135</v>
      </c>
      <c r="O139" s="302"/>
      <c r="P139" s="311">
        <f>Données!AC139</f>
        <v>5456980.96</v>
      </c>
      <c r="Q139" s="307">
        <f>Données!AD139</f>
        <v>-539256.70132301247</v>
      </c>
      <c r="R139" s="302">
        <f t="shared" si="41"/>
        <v>4917724.2586769871</v>
      </c>
      <c r="S139" s="308">
        <f t="shared" si="42"/>
        <v>-2950634.5552061922</v>
      </c>
      <c r="T139" s="302">
        <f t="shared" si="43"/>
        <v>1391714.3048896061</v>
      </c>
      <c r="U139" s="312">
        <f t="shared" si="38"/>
        <v>-1558920.2503165861</v>
      </c>
    </row>
    <row r="140" spans="1:21" x14ac:dyDescent="0.25">
      <c r="A140" s="159">
        <f>Données!A140</f>
        <v>5636</v>
      </c>
      <c r="B140" s="160" t="str">
        <f>Données!B140</f>
        <v>Etoy</v>
      </c>
      <c r="C140" s="307">
        <f>Données!C140</f>
        <v>3013</v>
      </c>
      <c r="D140" s="303">
        <f t="shared" si="34"/>
        <v>1000</v>
      </c>
      <c r="E140" s="303">
        <f t="shared" si="39"/>
        <v>2000</v>
      </c>
      <c r="F140" s="308">
        <f t="shared" si="44"/>
        <v>13</v>
      </c>
      <c r="G140" s="302">
        <f t="shared" si="44"/>
        <v>0</v>
      </c>
      <c r="H140" s="303">
        <f t="shared" si="44"/>
        <v>0</v>
      </c>
      <c r="I140" s="308">
        <f t="shared" si="44"/>
        <v>0</v>
      </c>
      <c r="J140" s="309">
        <f t="shared" si="35"/>
        <v>0</v>
      </c>
      <c r="K140" s="302"/>
      <c r="L140" s="303">
        <f t="shared" si="36"/>
        <v>-888337.04253214644</v>
      </c>
      <c r="M140" s="308">
        <f t="shared" si="40"/>
        <v>1800564.242102243</v>
      </c>
      <c r="N140" s="310">
        <f t="shared" si="37"/>
        <v>912227.19957009656</v>
      </c>
      <c r="O140" s="302"/>
      <c r="P140" s="311" t="str">
        <f>Données!AC140</f>
        <v/>
      </c>
      <c r="Q140" s="307" t="str">
        <f>Données!AD140</f>
        <v/>
      </c>
      <c r="R140" s="302">
        <f t="shared" si="41"/>
        <v>0</v>
      </c>
      <c r="S140" s="308">
        <f t="shared" si="42"/>
        <v>0</v>
      </c>
      <c r="T140" s="302">
        <f t="shared" si="43"/>
        <v>304785.23045736173</v>
      </c>
      <c r="U140" s="312">
        <f t="shared" si="38"/>
        <v>304785.23045736173</v>
      </c>
    </row>
    <row r="141" spans="1:21" x14ac:dyDescent="0.25">
      <c r="A141" s="159">
        <f>Données!A141</f>
        <v>5637</v>
      </c>
      <c r="B141" s="160" t="str">
        <f>Données!B141</f>
        <v>Lavigny</v>
      </c>
      <c r="C141" s="307">
        <f>Données!C141</f>
        <v>1108</v>
      </c>
      <c r="D141" s="303">
        <f t="shared" si="34"/>
        <v>1000</v>
      </c>
      <c r="E141" s="303">
        <f t="shared" si="39"/>
        <v>108</v>
      </c>
      <c r="F141" s="308">
        <f t="shared" si="44"/>
        <v>0</v>
      </c>
      <c r="G141" s="302">
        <f t="shared" si="44"/>
        <v>0</v>
      </c>
      <c r="H141" s="303">
        <f t="shared" si="44"/>
        <v>0</v>
      </c>
      <c r="I141" s="308">
        <f t="shared" si="44"/>
        <v>0</v>
      </c>
      <c r="J141" s="309">
        <f t="shared" si="35"/>
        <v>0</v>
      </c>
      <c r="K141" s="302"/>
      <c r="L141" s="303">
        <f t="shared" si="36"/>
        <v>-173588.92185954499</v>
      </c>
      <c r="M141" s="308">
        <f t="shared" si="40"/>
        <v>662139.12387961673</v>
      </c>
      <c r="N141" s="310">
        <f t="shared" si="37"/>
        <v>488550.20202007174</v>
      </c>
      <c r="O141" s="302"/>
      <c r="P141" s="311" t="str">
        <f>Données!AC141</f>
        <v/>
      </c>
      <c r="Q141" s="307" t="str">
        <f>Données!AD141</f>
        <v/>
      </c>
      <c r="R141" s="302">
        <f t="shared" si="41"/>
        <v>0</v>
      </c>
      <c r="S141" s="308">
        <f t="shared" si="42"/>
        <v>0</v>
      </c>
      <c r="T141" s="302">
        <f t="shared" si="43"/>
        <v>112081.65793121699</v>
      </c>
      <c r="U141" s="312">
        <f t="shared" si="38"/>
        <v>112081.65793121699</v>
      </c>
    </row>
    <row r="142" spans="1:21" x14ac:dyDescent="0.25">
      <c r="A142" s="159">
        <f>Données!A142</f>
        <v>5638</v>
      </c>
      <c r="B142" s="160" t="str">
        <f>Données!B142</f>
        <v>Lonay</v>
      </c>
      <c r="C142" s="307">
        <f>Données!C142</f>
        <v>2719</v>
      </c>
      <c r="D142" s="303">
        <f t="shared" si="34"/>
        <v>1000</v>
      </c>
      <c r="E142" s="303">
        <f t="shared" si="39"/>
        <v>1719</v>
      </c>
      <c r="F142" s="308">
        <f t="shared" si="44"/>
        <v>0</v>
      </c>
      <c r="G142" s="302">
        <f t="shared" si="44"/>
        <v>0</v>
      </c>
      <c r="H142" s="303">
        <f t="shared" si="44"/>
        <v>0</v>
      </c>
      <c r="I142" s="308">
        <f t="shared" si="44"/>
        <v>0</v>
      </c>
      <c r="J142" s="309">
        <f t="shared" si="35"/>
        <v>0</v>
      </c>
      <c r="K142" s="302"/>
      <c r="L142" s="303">
        <f t="shared" si="36"/>
        <v>-774805.83580613253</v>
      </c>
      <c r="M142" s="308">
        <f t="shared" si="40"/>
        <v>1624870.2868489872</v>
      </c>
      <c r="N142" s="310">
        <f t="shared" si="37"/>
        <v>850064.45104285469</v>
      </c>
      <c r="O142" s="302"/>
      <c r="P142" s="311">
        <f>Données!AC142</f>
        <v>1128006.0240026347</v>
      </c>
      <c r="Q142" s="307">
        <f>Données!AD142</f>
        <v>-122771.19595909852</v>
      </c>
      <c r="R142" s="302">
        <f t="shared" si="41"/>
        <v>1005234.8280435362</v>
      </c>
      <c r="S142" s="308">
        <f t="shared" si="42"/>
        <v>-603140.89682612172</v>
      </c>
      <c r="T142" s="302">
        <f t="shared" si="43"/>
        <v>275045.15154781501</v>
      </c>
      <c r="U142" s="312">
        <f t="shared" si="38"/>
        <v>-328095.74527830671</v>
      </c>
    </row>
    <row r="143" spans="1:21" x14ac:dyDescent="0.25">
      <c r="A143" s="159">
        <f>Données!A143</f>
        <v>5639</v>
      </c>
      <c r="B143" s="160" t="str">
        <f>Données!B143</f>
        <v>Lully</v>
      </c>
      <c r="C143" s="307">
        <f>Données!C143</f>
        <v>824</v>
      </c>
      <c r="D143" s="303">
        <f t="shared" si="34"/>
        <v>824</v>
      </c>
      <c r="E143" s="303">
        <f t="shared" si="39"/>
        <v>0</v>
      </c>
      <c r="F143" s="308">
        <f t="shared" si="44"/>
        <v>0</v>
      </c>
      <c r="G143" s="302">
        <f t="shared" si="44"/>
        <v>0</v>
      </c>
      <c r="H143" s="303">
        <f t="shared" si="44"/>
        <v>0</v>
      </c>
      <c r="I143" s="308">
        <f t="shared" si="44"/>
        <v>0</v>
      </c>
      <c r="J143" s="309">
        <f t="shared" si="35"/>
        <v>0</v>
      </c>
      <c r="K143" s="302"/>
      <c r="L143" s="303">
        <f t="shared" si="36"/>
        <v>-109825.91493570722</v>
      </c>
      <c r="M143" s="308">
        <f t="shared" si="40"/>
        <v>492421.15349892079</v>
      </c>
      <c r="N143" s="310">
        <f t="shared" si="37"/>
        <v>382595.23856321356</v>
      </c>
      <c r="O143" s="302"/>
      <c r="P143" s="311">
        <f>Données!AC143</f>
        <v>182999.17474505477</v>
      </c>
      <c r="Q143" s="307">
        <f>Données!AD143</f>
        <v>-21877.432225781347</v>
      </c>
      <c r="R143" s="302">
        <f t="shared" si="41"/>
        <v>161121.74251927342</v>
      </c>
      <c r="S143" s="308">
        <f t="shared" si="42"/>
        <v>-96673.045511564051</v>
      </c>
      <c r="T143" s="302">
        <f t="shared" si="43"/>
        <v>83353.146331518772</v>
      </c>
      <c r="U143" s="312">
        <f t="shared" si="38"/>
        <v>-13319.899180045279</v>
      </c>
    </row>
    <row r="144" spans="1:21" x14ac:dyDescent="0.25">
      <c r="A144" s="159">
        <f>Données!A144</f>
        <v>5640</v>
      </c>
      <c r="B144" s="160" t="str">
        <f>Données!B144</f>
        <v>Lussy-sur-Morges</v>
      </c>
      <c r="C144" s="307">
        <f>Données!C144</f>
        <v>721</v>
      </c>
      <c r="D144" s="303">
        <f t="shared" si="34"/>
        <v>721</v>
      </c>
      <c r="E144" s="303">
        <f t="shared" si="39"/>
        <v>0</v>
      </c>
      <c r="F144" s="308">
        <f t="shared" si="44"/>
        <v>0</v>
      </c>
      <c r="G144" s="302">
        <f t="shared" si="44"/>
        <v>0</v>
      </c>
      <c r="H144" s="303">
        <f t="shared" si="44"/>
        <v>0</v>
      </c>
      <c r="I144" s="308">
        <f t="shared" si="44"/>
        <v>0</v>
      </c>
      <c r="J144" s="309">
        <f t="shared" si="35"/>
        <v>0</v>
      </c>
      <c r="K144" s="302"/>
      <c r="L144" s="303">
        <f t="shared" si="36"/>
        <v>-96097.675568743813</v>
      </c>
      <c r="M144" s="308">
        <f t="shared" si="40"/>
        <v>430868.50931155565</v>
      </c>
      <c r="N144" s="310">
        <f t="shared" si="37"/>
        <v>334770.83374281181</v>
      </c>
      <c r="O144" s="302"/>
      <c r="P144" s="311">
        <f>Données!AC144</f>
        <v>205285.86916955173</v>
      </c>
      <c r="Q144" s="307">
        <f>Données!AD144</f>
        <v>-25253.256667498761</v>
      </c>
      <c r="R144" s="302">
        <f t="shared" si="41"/>
        <v>180032.61250205297</v>
      </c>
      <c r="S144" s="308">
        <f t="shared" si="42"/>
        <v>-108019.56750123178</v>
      </c>
      <c r="T144" s="302">
        <f t="shared" si="43"/>
        <v>72934.003040078926</v>
      </c>
      <c r="U144" s="312">
        <f t="shared" si="38"/>
        <v>-35085.564461152855</v>
      </c>
    </row>
    <row r="145" spans="1:21" x14ac:dyDescent="0.25">
      <c r="A145" s="159">
        <f>Données!A145</f>
        <v>5642</v>
      </c>
      <c r="B145" s="160" t="str">
        <f>Données!B145</f>
        <v>Morges</v>
      </c>
      <c r="C145" s="307">
        <f>Données!C145</f>
        <v>17813</v>
      </c>
      <c r="D145" s="303">
        <f t="shared" si="34"/>
        <v>1000</v>
      </c>
      <c r="E145" s="303">
        <f t="shared" si="39"/>
        <v>2000</v>
      </c>
      <c r="F145" s="308">
        <f t="shared" si="44"/>
        <v>9000</v>
      </c>
      <c r="G145" s="302">
        <f t="shared" si="44"/>
        <v>3000</v>
      </c>
      <c r="H145" s="303">
        <f t="shared" si="44"/>
        <v>2813</v>
      </c>
      <c r="I145" s="308">
        <f t="shared" si="44"/>
        <v>0</v>
      </c>
      <c r="J145" s="309">
        <f t="shared" si="35"/>
        <v>0</v>
      </c>
      <c r="K145" s="302"/>
      <c r="L145" s="303">
        <f t="shared" si="36"/>
        <v>-13225652.522255192</v>
      </c>
      <c r="M145" s="308">
        <f t="shared" si="40"/>
        <v>10645021.853490626</v>
      </c>
      <c r="N145" s="310">
        <f t="shared" si="37"/>
        <v>-2580630.6687645651</v>
      </c>
      <c r="O145" s="302"/>
      <c r="P145" s="311">
        <f>Données!AC145</f>
        <v>5192324.4757985147</v>
      </c>
      <c r="Q145" s="307">
        <f>Données!AD145</f>
        <v>-599795.04757458344</v>
      </c>
      <c r="R145" s="302">
        <f t="shared" si="41"/>
        <v>4592529.4282239312</v>
      </c>
      <c r="S145" s="308">
        <f t="shared" si="42"/>
        <v>-2755517.6569343586</v>
      </c>
      <c r="T145" s="302">
        <f t="shared" si="43"/>
        <v>1801904.8490331843</v>
      </c>
      <c r="U145" s="312">
        <f t="shared" si="38"/>
        <v>-953612.8079011743</v>
      </c>
    </row>
    <row r="146" spans="1:21" x14ac:dyDescent="0.25">
      <c r="A146" s="159">
        <f>Données!A146</f>
        <v>5643</v>
      </c>
      <c r="B146" s="160" t="str">
        <f>Données!B146</f>
        <v>Préverenges</v>
      </c>
      <c r="C146" s="307">
        <f>Données!C146</f>
        <v>5236</v>
      </c>
      <c r="D146" s="303">
        <f t="shared" si="34"/>
        <v>1000</v>
      </c>
      <c r="E146" s="303">
        <f t="shared" si="39"/>
        <v>2000</v>
      </c>
      <c r="F146" s="308">
        <f t="shared" si="44"/>
        <v>2236</v>
      </c>
      <c r="G146" s="302">
        <f t="shared" si="44"/>
        <v>0</v>
      </c>
      <c r="H146" s="303">
        <f t="shared" si="44"/>
        <v>0</v>
      </c>
      <c r="I146" s="308">
        <f t="shared" si="44"/>
        <v>0</v>
      </c>
      <c r="J146" s="309">
        <f t="shared" si="35"/>
        <v>0</v>
      </c>
      <c r="K146" s="302"/>
      <c r="L146" s="303">
        <f t="shared" si="36"/>
        <v>-2369787.3392680516</v>
      </c>
      <c r="M146" s="308">
        <f t="shared" si="40"/>
        <v>3129025.6792722684</v>
      </c>
      <c r="N146" s="310">
        <f t="shared" si="37"/>
        <v>759238.34000421688</v>
      </c>
      <c r="O146" s="302"/>
      <c r="P146" s="311">
        <f>Données!AC146</f>
        <v>1177582.7305990045</v>
      </c>
      <c r="Q146" s="307">
        <f>Données!AD146</f>
        <v>-127344.3348509788</v>
      </c>
      <c r="R146" s="302">
        <f t="shared" si="41"/>
        <v>1050238.3957480257</v>
      </c>
      <c r="S146" s="308">
        <f t="shared" si="42"/>
        <v>-630143.03744881542</v>
      </c>
      <c r="T146" s="302">
        <f t="shared" si="43"/>
        <v>529656.64343668974</v>
      </c>
      <c r="U146" s="312">
        <f t="shared" si="38"/>
        <v>-100486.39401212567</v>
      </c>
    </row>
    <row r="147" spans="1:21" x14ac:dyDescent="0.25">
      <c r="A147" s="159">
        <f>Données!A147</f>
        <v>5645</v>
      </c>
      <c r="B147" s="160" t="str">
        <f>Données!B147</f>
        <v>Romanel-sur-Morges</v>
      </c>
      <c r="C147" s="307">
        <f>Données!C147</f>
        <v>462</v>
      </c>
      <c r="D147" s="303">
        <f t="shared" si="34"/>
        <v>462</v>
      </c>
      <c r="E147" s="303">
        <f t="shared" si="39"/>
        <v>0</v>
      </c>
      <c r="F147" s="308">
        <f t="shared" si="44"/>
        <v>0</v>
      </c>
      <c r="G147" s="302">
        <f t="shared" si="44"/>
        <v>0</v>
      </c>
      <c r="H147" s="303">
        <f t="shared" si="44"/>
        <v>0</v>
      </c>
      <c r="I147" s="308">
        <f t="shared" si="44"/>
        <v>0</v>
      </c>
      <c r="J147" s="309">
        <f t="shared" si="35"/>
        <v>0</v>
      </c>
      <c r="K147" s="302"/>
      <c r="L147" s="303">
        <f t="shared" si="36"/>
        <v>-61577.151335311566</v>
      </c>
      <c r="M147" s="308">
        <f t="shared" si="40"/>
        <v>276090.50111225899</v>
      </c>
      <c r="N147" s="310">
        <f t="shared" si="37"/>
        <v>214513.34977694743</v>
      </c>
      <c r="O147" s="302"/>
      <c r="P147" s="311" t="str">
        <f>Données!AC147</f>
        <v/>
      </c>
      <c r="Q147" s="307" t="str">
        <f>Données!AD147</f>
        <v/>
      </c>
      <c r="R147" s="302">
        <f t="shared" si="41"/>
        <v>0</v>
      </c>
      <c r="S147" s="308">
        <f t="shared" si="42"/>
        <v>0</v>
      </c>
      <c r="T147" s="302">
        <f t="shared" si="43"/>
        <v>46734.409715002032</v>
      </c>
      <c r="U147" s="312">
        <f t="shared" si="38"/>
        <v>46734.409715002032</v>
      </c>
    </row>
    <row r="148" spans="1:21" x14ac:dyDescent="0.25">
      <c r="A148" s="159">
        <f>Données!A148</f>
        <v>5646</v>
      </c>
      <c r="B148" s="160" t="str">
        <f>Données!B148</f>
        <v>Saint-Prex</v>
      </c>
      <c r="C148" s="307">
        <f>Données!C148</f>
        <v>5922</v>
      </c>
      <c r="D148" s="303">
        <f t="shared" si="34"/>
        <v>1000</v>
      </c>
      <c r="E148" s="303">
        <f t="shared" si="39"/>
        <v>2000</v>
      </c>
      <c r="F148" s="308">
        <f t="shared" si="44"/>
        <v>2922</v>
      </c>
      <c r="G148" s="302">
        <f t="shared" si="44"/>
        <v>0</v>
      </c>
      <c r="H148" s="303">
        <f t="shared" si="44"/>
        <v>0</v>
      </c>
      <c r="I148" s="308">
        <f t="shared" si="44"/>
        <v>0</v>
      </c>
      <c r="J148" s="309">
        <f t="shared" si="35"/>
        <v>0</v>
      </c>
      <c r="K148" s="302"/>
      <c r="L148" s="303">
        <f t="shared" si="36"/>
        <v>-2826951.0385756679</v>
      </c>
      <c r="M148" s="308">
        <f t="shared" si="40"/>
        <v>3538978.2415298652</v>
      </c>
      <c r="N148" s="310">
        <f t="shared" si="37"/>
        <v>712027.2029541973</v>
      </c>
      <c r="O148" s="302"/>
      <c r="P148" s="311" t="str">
        <f>Données!AC148</f>
        <v/>
      </c>
      <c r="Q148" s="307" t="str">
        <f>Données!AD148</f>
        <v/>
      </c>
      <c r="R148" s="302">
        <f t="shared" si="41"/>
        <v>0</v>
      </c>
      <c r="S148" s="308">
        <f t="shared" si="42"/>
        <v>0</v>
      </c>
      <c r="T148" s="302">
        <f t="shared" si="43"/>
        <v>599050.16089229879</v>
      </c>
      <c r="U148" s="312">
        <f t="shared" si="38"/>
        <v>599050.16089229879</v>
      </c>
    </row>
    <row r="149" spans="1:21" x14ac:dyDescent="0.25">
      <c r="A149" s="159">
        <f>Données!A149</f>
        <v>5648</v>
      </c>
      <c r="B149" s="160" t="str">
        <f>Données!B149</f>
        <v>Saint-Sulpice</v>
      </c>
      <c r="C149" s="307">
        <f>Données!C149</f>
        <v>5193</v>
      </c>
      <c r="D149" s="303">
        <f t="shared" si="34"/>
        <v>1000</v>
      </c>
      <c r="E149" s="303">
        <f t="shared" si="39"/>
        <v>2000</v>
      </c>
      <c r="F149" s="308">
        <f t="shared" ref="F149:I158" si="45">IF($C149&lt;F$4,0,IF($C149&gt;F$5,F$5-F$4,$C149-F$4))</f>
        <v>2193</v>
      </c>
      <c r="G149" s="302">
        <f t="shared" si="45"/>
        <v>0</v>
      </c>
      <c r="H149" s="303">
        <f t="shared" si="45"/>
        <v>0</v>
      </c>
      <c r="I149" s="308">
        <f t="shared" si="45"/>
        <v>0</v>
      </c>
      <c r="J149" s="309">
        <f t="shared" si="35"/>
        <v>0</v>
      </c>
      <c r="K149" s="302"/>
      <c r="L149" s="303">
        <f t="shared" si="36"/>
        <v>-2341131.3056379822</v>
      </c>
      <c r="M149" s="308">
        <f t="shared" si="40"/>
        <v>3103328.9443202615</v>
      </c>
      <c r="N149" s="310">
        <f t="shared" si="37"/>
        <v>762197.63868227927</v>
      </c>
      <c r="O149" s="302"/>
      <c r="P149" s="311">
        <f>Données!AC149</f>
        <v>2453666</v>
      </c>
      <c r="Q149" s="307">
        <f>Données!AD149</f>
        <v>-196525.77841295622</v>
      </c>
      <c r="R149" s="302">
        <f t="shared" si="41"/>
        <v>2257140.2215870437</v>
      </c>
      <c r="S149" s="308">
        <f t="shared" si="42"/>
        <v>-1354284.1329522261</v>
      </c>
      <c r="T149" s="302">
        <f t="shared" si="43"/>
        <v>525306.90400434099</v>
      </c>
      <c r="U149" s="312">
        <f t="shared" si="38"/>
        <v>-828977.2289478851</v>
      </c>
    </row>
    <row r="150" spans="1:21" x14ac:dyDescent="0.25">
      <c r="A150" s="159">
        <f>Données!A150</f>
        <v>5649</v>
      </c>
      <c r="B150" s="160" t="str">
        <f>Données!B150</f>
        <v>Tolochenaz</v>
      </c>
      <c r="C150" s="307">
        <f>Données!C150</f>
        <v>1928</v>
      </c>
      <c r="D150" s="303">
        <f t="shared" si="34"/>
        <v>1000</v>
      </c>
      <c r="E150" s="303">
        <f t="shared" si="39"/>
        <v>928</v>
      </c>
      <c r="F150" s="308">
        <f t="shared" si="45"/>
        <v>0</v>
      </c>
      <c r="G150" s="302">
        <f t="shared" si="45"/>
        <v>0</v>
      </c>
      <c r="H150" s="303">
        <f t="shared" si="45"/>
        <v>0</v>
      </c>
      <c r="I150" s="308">
        <f t="shared" si="45"/>
        <v>0</v>
      </c>
      <c r="J150" s="309">
        <f t="shared" si="35"/>
        <v>0</v>
      </c>
      <c r="K150" s="302"/>
      <c r="L150" s="303">
        <f t="shared" si="36"/>
        <v>-479608.70425321464</v>
      </c>
      <c r="M150" s="308">
        <f t="shared" si="40"/>
        <v>1152169.8834295135</v>
      </c>
      <c r="N150" s="310">
        <f t="shared" si="37"/>
        <v>672561.1791762989</v>
      </c>
      <c r="O150" s="302"/>
      <c r="P150" s="311">
        <f>Données!AC150</f>
        <v>786825.79765053967</v>
      </c>
      <c r="Q150" s="307">
        <f>Données!AD150</f>
        <v>-92889.218548725708</v>
      </c>
      <c r="R150" s="302">
        <f t="shared" si="41"/>
        <v>693936.57910181396</v>
      </c>
      <c r="S150" s="308">
        <f t="shared" si="42"/>
        <v>-416361.94746108836</v>
      </c>
      <c r="T150" s="302">
        <f t="shared" si="43"/>
        <v>195030.17733879638</v>
      </c>
      <c r="U150" s="312">
        <f t="shared" si="38"/>
        <v>-221331.77012229199</v>
      </c>
    </row>
    <row r="151" spans="1:21" x14ac:dyDescent="0.25">
      <c r="A151" s="159">
        <f>Données!A151</f>
        <v>5650</v>
      </c>
      <c r="B151" s="160" t="str">
        <f>Données!B151</f>
        <v>Vaux-sur-Morges</v>
      </c>
      <c r="C151" s="307">
        <f>Données!C151</f>
        <v>185</v>
      </c>
      <c r="D151" s="303">
        <f t="shared" si="34"/>
        <v>185</v>
      </c>
      <c r="E151" s="303">
        <f t="shared" si="39"/>
        <v>0</v>
      </c>
      <c r="F151" s="308">
        <f t="shared" si="45"/>
        <v>0</v>
      </c>
      <c r="G151" s="302">
        <f t="shared" si="45"/>
        <v>0</v>
      </c>
      <c r="H151" s="303">
        <f t="shared" si="45"/>
        <v>0</v>
      </c>
      <c r="I151" s="308">
        <f t="shared" si="45"/>
        <v>0</v>
      </c>
      <c r="J151" s="309">
        <f t="shared" si="35"/>
        <v>0</v>
      </c>
      <c r="K151" s="302"/>
      <c r="L151" s="303">
        <f t="shared" si="36"/>
        <v>-24657.517309594459</v>
      </c>
      <c r="M151" s="308">
        <f t="shared" si="40"/>
        <v>110555.72014235478</v>
      </c>
      <c r="N151" s="310">
        <f t="shared" si="37"/>
        <v>85898.202832760318</v>
      </c>
      <c r="O151" s="302"/>
      <c r="P151" s="311" t="str">
        <f>Données!AC151</f>
        <v/>
      </c>
      <c r="Q151" s="307" t="str">
        <f>Données!AD151</f>
        <v/>
      </c>
      <c r="R151" s="302">
        <f t="shared" si="41"/>
        <v>0</v>
      </c>
      <c r="S151" s="308">
        <f t="shared" si="42"/>
        <v>0</v>
      </c>
      <c r="T151" s="302">
        <f t="shared" si="43"/>
        <v>18713.995232197783</v>
      </c>
      <c r="U151" s="312">
        <f t="shared" si="38"/>
        <v>18713.995232197783</v>
      </c>
    </row>
    <row r="152" spans="1:21" x14ac:dyDescent="0.25">
      <c r="A152" s="159">
        <f>Données!A152</f>
        <v>5651</v>
      </c>
      <c r="B152" s="160" t="str">
        <f>Données!B152</f>
        <v>Villars-Sainte-Croix</v>
      </c>
      <c r="C152" s="307">
        <f>Données!C152</f>
        <v>943</v>
      </c>
      <c r="D152" s="303">
        <f t="shared" si="34"/>
        <v>943</v>
      </c>
      <c r="E152" s="303">
        <f t="shared" si="39"/>
        <v>0</v>
      </c>
      <c r="F152" s="308">
        <f t="shared" si="45"/>
        <v>0</v>
      </c>
      <c r="G152" s="302">
        <f t="shared" si="45"/>
        <v>0</v>
      </c>
      <c r="H152" s="303">
        <f t="shared" si="45"/>
        <v>0</v>
      </c>
      <c r="I152" s="308">
        <f t="shared" si="45"/>
        <v>0</v>
      </c>
      <c r="J152" s="309">
        <f t="shared" si="35"/>
        <v>0</v>
      </c>
      <c r="K152" s="302"/>
      <c r="L152" s="303">
        <f t="shared" si="36"/>
        <v>-125686.69634025717</v>
      </c>
      <c r="M152" s="308">
        <f t="shared" si="40"/>
        <v>563535.37348238146</v>
      </c>
      <c r="N152" s="310">
        <f t="shared" si="37"/>
        <v>437848.67714212427</v>
      </c>
      <c r="O152" s="302"/>
      <c r="P152" s="311">
        <f>Données!AC152</f>
        <v>493146</v>
      </c>
      <c r="Q152" s="307">
        <f>Données!AD152</f>
        <v>-87879.72</v>
      </c>
      <c r="R152" s="302">
        <f t="shared" si="41"/>
        <v>405266.28</v>
      </c>
      <c r="S152" s="308">
        <f t="shared" si="42"/>
        <v>-243159.76800000001</v>
      </c>
      <c r="T152" s="302">
        <f t="shared" si="43"/>
        <v>95390.797318716272</v>
      </c>
      <c r="U152" s="312">
        <f t="shared" si="38"/>
        <v>-147768.97068128374</v>
      </c>
    </row>
    <row r="153" spans="1:21" x14ac:dyDescent="0.25">
      <c r="A153" s="159">
        <f>Données!A153</f>
        <v>5652</v>
      </c>
      <c r="B153" s="160" t="str">
        <f>Données!B153</f>
        <v>Villars-sous-Yens</v>
      </c>
      <c r="C153" s="307">
        <f>Données!C153</f>
        <v>603</v>
      </c>
      <c r="D153" s="303">
        <f t="shared" si="34"/>
        <v>603</v>
      </c>
      <c r="E153" s="303">
        <f t="shared" si="39"/>
        <v>0</v>
      </c>
      <c r="F153" s="308">
        <f t="shared" si="45"/>
        <v>0</v>
      </c>
      <c r="G153" s="302">
        <f t="shared" si="45"/>
        <v>0</v>
      </c>
      <c r="H153" s="303">
        <f t="shared" si="45"/>
        <v>0</v>
      </c>
      <c r="I153" s="308">
        <f t="shared" si="45"/>
        <v>0</v>
      </c>
      <c r="J153" s="309">
        <f t="shared" si="35"/>
        <v>0</v>
      </c>
      <c r="K153" s="302"/>
      <c r="L153" s="303">
        <f t="shared" si="36"/>
        <v>-80370.178041543026</v>
      </c>
      <c r="M153" s="308">
        <f t="shared" si="40"/>
        <v>360351.88781535102</v>
      </c>
      <c r="N153" s="310">
        <f t="shared" si="37"/>
        <v>279981.70977380802</v>
      </c>
      <c r="O153" s="302"/>
      <c r="P153" s="311" t="str">
        <f>Données!AC153</f>
        <v/>
      </c>
      <c r="Q153" s="307" t="str">
        <f>Données!AD153</f>
        <v/>
      </c>
      <c r="R153" s="302">
        <f t="shared" si="41"/>
        <v>0</v>
      </c>
      <c r="S153" s="308">
        <f t="shared" si="42"/>
        <v>0</v>
      </c>
      <c r="T153" s="302">
        <f t="shared" si="43"/>
        <v>60997.508783866288</v>
      </c>
      <c r="U153" s="312">
        <f t="shared" si="38"/>
        <v>60997.508783866288</v>
      </c>
    </row>
    <row r="154" spans="1:21" x14ac:dyDescent="0.25">
      <c r="A154" s="159">
        <f>Données!A154</f>
        <v>5653</v>
      </c>
      <c r="B154" s="160" t="str">
        <f>Données!B154</f>
        <v>Vufflens-le-Château</v>
      </c>
      <c r="C154" s="307">
        <f>Données!C154</f>
        <v>887</v>
      </c>
      <c r="D154" s="303">
        <f t="shared" si="34"/>
        <v>887</v>
      </c>
      <c r="E154" s="303">
        <f t="shared" si="39"/>
        <v>0</v>
      </c>
      <c r="F154" s="308">
        <f t="shared" si="45"/>
        <v>0</v>
      </c>
      <c r="G154" s="302">
        <f t="shared" si="45"/>
        <v>0</v>
      </c>
      <c r="H154" s="303">
        <f t="shared" si="45"/>
        <v>0</v>
      </c>
      <c r="I154" s="308">
        <f t="shared" si="45"/>
        <v>0</v>
      </c>
      <c r="J154" s="309">
        <f t="shared" si="35"/>
        <v>0</v>
      </c>
      <c r="K154" s="302"/>
      <c r="L154" s="303">
        <f t="shared" si="36"/>
        <v>-118222.79920870425</v>
      </c>
      <c r="M154" s="308">
        <f t="shared" si="40"/>
        <v>530069.85819604702</v>
      </c>
      <c r="N154" s="310">
        <f t="shared" si="37"/>
        <v>411847.05898734275</v>
      </c>
      <c r="O154" s="302"/>
      <c r="P154" s="311" t="str">
        <f>Données!AC154</f>
        <v/>
      </c>
      <c r="Q154" s="307" t="str">
        <f>Données!AD154</f>
        <v/>
      </c>
      <c r="R154" s="302">
        <f t="shared" si="41"/>
        <v>0</v>
      </c>
      <c r="S154" s="308">
        <f t="shared" si="42"/>
        <v>0</v>
      </c>
      <c r="T154" s="302">
        <f t="shared" si="43"/>
        <v>89726.020383564508</v>
      </c>
      <c r="U154" s="312">
        <f t="shared" si="38"/>
        <v>89726.020383564508</v>
      </c>
    </row>
    <row r="155" spans="1:21" x14ac:dyDescent="0.25">
      <c r="A155" s="159">
        <f>Données!A155</f>
        <v>5654</v>
      </c>
      <c r="B155" s="160" t="str">
        <f>Données!B155</f>
        <v>Vullierens</v>
      </c>
      <c r="C155" s="307">
        <f>Données!C155</f>
        <v>577</v>
      </c>
      <c r="D155" s="303">
        <f t="shared" si="34"/>
        <v>577</v>
      </c>
      <c r="E155" s="303">
        <f t="shared" si="39"/>
        <v>0</v>
      </c>
      <c r="F155" s="308">
        <f t="shared" si="45"/>
        <v>0</v>
      </c>
      <c r="G155" s="302">
        <f t="shared" si="45"/>
        <v>0</v>
      </c>
      <c r="H155" s="303">
        <f t="shared" si="45"/>
        <v>0</v>
      </c>
      <c r="I155" s="308">
        <f t="shared" si="45"/>
        <v>0</v>
      </c>
      <c r="J155" s="309">
        <f t="shared" si="35"/>
        <v>0</v>
      </c>
      <c r="K155" s="302"/>
      <c r="L155" s="303">
        <f t="shared" si="36"/>
        <v>-76904.797230464887</v>
      </c>
      <c r="M155" s="308">
        <f t="shared" si="40"/>
        <v>344814.32714669575</v>
      </c>
      <c r="N155" s="310">
        <f t="shared" si="37"/>
        <v>267909.52991623088</v>
      </c>
      <c r="O155" s="302"/>
      <c r="P155" s="311" t="str">
        <f>Données!AC155</f>
        <v/>
      </c>
      <c r="Q155" s="307" t="str">
        <f>Données!AD155</f>
        <v/>
      </c>
      <c r="R155" s="302">
        <f t="shared" si="41"/>
        <v>0</v>
      </c>
      <c r="S155" s="308">
        <f t="shared" si="42"/>
        <v>0</v>
      </c>
      <c r="T155" s="302">
        <f t="shared" si="43"/>
        <v>58367.433778260114</v>
      </c>
      <c r="U155" s="312">
        <f t="shared" si="38"/>
        <v>58367.433778260114</v>
      </c>
    </row>
    <row r="156" spans="1:21" x14ac:dyDescent="0.25">
      <c r="A156" s="159">
        <f>Données!A156</f>
        <v>5655</v>
      </c>
      <c r="B156" s="160" t="str">
        <f>Données!B156</f>
        <v>Yens</v>
      </c>
      <c r="C156" s="307">
        <f>Données!C156</f>
        <v>1481</v>
      </c>
      <c r="D156" s="303">
        <f t="shared" si="34"/>
        <v>1000</v>
      </c>
      <c r="E156" s="303">
        <f t="shared" si="39"/>
        <v>481</v>
      </c>
      <c r="F156" s="308">
        <f t="shared" si="45"/>
        <v>0</v>
      </c>
      <c r="G156" s="302">
        <f t="shared" si="45"/>
        <v>0</v>
      </c>
      <c r="H156" s="303">
        <f t="shared" si="45"/>
        <v>0</v>
      </c>
      <c r="I156" s="308">
        <f t="shared" si="45"/>
        <v>0</v>
      </c>
      <c r="J156" s="309">
        <f t="shared" si="35"/>
        <v>0</v>
      </c>
      <c r="K156" s="302"/>
      <c r="L156" s="303">
        <f t="shared" si="36"/>
        <v>-312790.60336300696</v>
      </c>
      <c r="M156" s="308">
        <f t="shared" si="40"/>
        <v>885043.35962609423</v>
      </c>
      <c r="N156" s="310">
        <f t="shared" si="37"/>
        <v>572252.75626308727</v>
      </c>
      <c r="O156" s="302"/>
      <c r="P156" s="311" t="str">
        <f>Données!AC156</f>
        <v/>
      </c>
      <c r="Q156" s="307" t="str">
        <f>Données!AD156</f>
        <v/>
      </c>
      <c r="R156" s="302">
        <f t="shared" si="41"/>
        <v>0</v>
      </c>
      <c r="S156" s="308">
        <f t="shared" si="42"/>
        <v>0</v>
      </c>
      <c r="T156" s="302">
        <f t="shared" si="43"/>
        <v>149813.11858856713</v>
      </c>
      <c r="U156" s="312">
        <f t="shared" si="38"/>
        <v>149813.11858856713</v>
      </c>
    </row>
    <row r="157" spans="1:21" x14ac:dyDescent="0.25">
      <c r="A157" s="159">
        <f>Données!A157</f>
        <v>5656</v>
      </c>
      <c r="B157" s="160" t="str">
        <f>Données!B157</f>
        <v>Hautemorges</v>
      </c>
      <c r="C157" s="307">
        <f>Données!C157</f>
        <v>4426</v>
      </c>
      <c r="D157" s="303">
        <f t="shared" si="34"/>
        <v>1000</v>
      </c>
      <c r="E157" s="303">
        <f t="shared" si="39"/>
        <v>2000</v>
      </c>
      <c r="F157" s="308">
        <f t="shared" si="45"/>
        <v>1426</v>
      </c>
      <c r="G157" s="302">
        <f t="shared" si="45"/>
        <v>0</v>
      </c>
      <c r="H157" s="303">
        <f t="shared" si="45"/>
        <v>0</v>
      </c>
      <c r="I157" s="308">
        <f t="shared" si="45"/>
        <v>0</v>
      </c>
      <c r="J157" s="309">
        <f t="shared" si="35"/>
        <v>0</v>
      </c>
      <c r="K157" s="302"/>
      <c r="L157" s="303">
        <f t="shared" si="36"/>
        <v>-1829987.6360039567</v>
      </c>
      <c r="M157" s="308">
        <f t="shared" si="40"/>
        <v>2644970.9045949313</v>
      </c>
      <c r="N157" s="310">
        <f t="shared" si="37"/>
        <v>814983.26859097462</v>
      </c>
      <c r="O157" s="302"/>
      <c r="P157" s="311" t="str">
        <f>Données!AC157</f>
        <v/>
      </c>
      <c r="Q157" s="307" t="str">
        <f>Données!AD157</f>
        <v/>
      </c>
      <c r="R157" s="302">
        <f t="shared" si="41"/>
        <v>0</v>
      </c>
      <c r="S157" s="308">
        <f t="shared" si="42"/>
        <v>0</v>
      </c>
      <c r="T157" s="302">
        <f t="shared" si="43"/>
        <v>447719.69133895886</v>
      </c>
      <c r="U157" s="312">
        <f t="shared" si="38"/>
        <v>447719.69133895886</v>
      </c>
    </row>
    <row r="158" spans="1:21" x14ac:dyDescent="0.25">
      <c r="A158" s="159">
        <f>Données!A158</f>
        <v>5661</v>
      </c>
      <c r="B158" s="160" t="str">
        <f>Données!B158</f>
        <v>Boulens</v>
      </c>
      <c r="C158" s="307">
        <f>Données!C158</f>
        <v>371</v>
      </c>
      <c r="D158" s="303">
        <f t="shared" si="34"/>
        <v>371</v>
      </c>
      <c r="E158" s="303">
        <f t="shared" si="39"/>
        <v>0</v>
      </c>
      <c r="F158" s="308">
        <f t="shared" si="45"/>
        <v>0</v>
      </c>
      <c r="G158" s="302">
        <f t="shared" si="45"/>
        <v>0</v>
      </c>
      <c r="H158" s="303">
        <f t="shared" si="45"/>
        <v>0</v>
      </c>
      <c r="I158" s="308">
        <f t="shared" si="45"/>
        <v>0</v>
      </c>
      <c r="J158" s="309">
        <f t="shared" si="35"/>
        <v>0</v>
      </c>
      <c r="K158" s="302"/>
      <c r="L158" s="303">
        <f t="shared" si="36"/>
        <v>-49448.318496538079</v>
      </c>
      <c r="M158" s="308">
        <f t="shared" si="40"/>
        <v>221709.03877196554</v>
      </c>
      <c r="N158" s="310">
        <f t="shared" si="37"/>
        <v>172260.72027542745</v>
      </c>
      <c r="O158" s="302"/>
      <c r="P158" s="311" t="str">
        <f>Données!AC158</f>
        <v/>
      </c>
      <c r="Q158" s="307" t="str">
        <f>Données!AD158</f>
        <v/>
      </c>
      <c r="R158" s="302">
        <f t="shared" si="41"/>
        <v>0</v>
      </c>
      <c r="S158" s="308">
        <f t="shared" si="42"/>
        <v>0</v>
      </c>
      <c r="T158" s="302">
        <f t="shared" si="43"/>
        <v>37529.147195380421</v>
      </c>
      <c r="U158" s="312">
        <f t="shared" si="38"/>
        <v>37529.147195380421</v>
      </c>
    </row>
    <row r="159" spans="1:21" x14ac:dyDescent="0.25">
      <c r="A159" s="159">
        <f>Données!A159</f>
        <v>5663</v>
      </c>
      <c r="B159" s="160" t="str">
        <f>Données!B159</f>
        <v>Bussy-sur-Moudon</v>
      </c>
      <c r="C159" s="307">
        <f>Données!C159</f>
        <v>267</v>
      </c>
      <c r="D159" s="303">
        <f t="shared" si="34"/>
        <v>267</v>
      </c>
      <c r="E159" s="303">
        <f t="shared" si="39"/>
        <v>0</v>
      </c>
      <c r="F159" s="308">
        <f t="shared" ref="F159:I168" si="46">IF($C159&lt;F$4,0,IF($C159&gt;F$5,F$5-F$4,$C159-F$4))</f>
        <v>0</v>
      </c>
      <c r="G159" s="302">
        <f t="shared" si="46"/>
        <v>0</v>
      </c>
      <c r="H159" s="303">
        <f t="shared" si="46"/>
        <v>0</v>
      </c>
      <c r="I159" s="308">
        <f t="shared" si="46"/>
        <v>0</v>
      </c>
      <c r="J159" s="309">
        <f t="shared" si="35"/>
        <v>0</v>
      </c>
      <c r="K159" s="302"/>
      <c r="L159" s="303">
        <f t="shared" si="36"/>
        <v>-35586.795252225515</v>
      </c>
      <c r="M159" s="308">
        <f t="shared" si="40"/>
        <v>159558.79609734449</v>
      </c>
      <c r="N159" s="310">
        <f t="shared" si="37"/>
        <v>123972.00084511898</v>
      </c>
      <c r="O159" s="302"/>
      <c r="P159" s="311" t="str">
        <f>Données!AC159</f>
        <v/>
      </c>
      <c r="Q159" s="307" t="str">
        <f>Données!AD159</f>
        <v/>
      </c>
      <c r="R159" s="302">
        <f t="shared" si="41"/>
        <v>0</v>
      </c>
      <c r="S159" s="308">
        <f t="shared" si="42"/>
        <v>0</v>
      </c>
      <c r="T159" s="302">
        <f t="shared" si="43"/>
        <v>27008.84717295572</v>
      </c>
      <c r="U159" s="312">
        <f t="shared" si="38"/>
        <v>27008.84717295572</v>
      </c>
    </row>
    <row r="160" spans="1:21" x14ac:dyDescent="0.25">
      <c r="A160" s="159">
        <f>Données!A160</f>
        <v>5665</v>
      </c>
      <c r="B160" s="160" t="str">
        <f>Données!B160</f>
        <v>Chavannes-sur-Moudon</v>
      </c>
      <c r="C160" s="307">
        <f>Données!C160</f>
        <v>232</v>
      </c>
      <c r="D160" s="303">
        <f t="shared" si="34"/>
        <v>232</v>
      </c>
      <c r="E160" s="303">
        <f t="shared" si="39"/>
        <v>0</v>
      </c>
      <c r="F160" s="308">
        <f t="shared" si="46"/>
        <v>0</v>
      </c>
      <c r="G160" s="302">
        <f t="shared" si="46"/>
        <v>0</v>
      </c>
      <c r="H160" s="303">
        <f t="shared" si="46"/>
        <v>0</v>
      </c>
      <c r="I160" s="308">
        <f t="shared" si="46"/>
        <v>0</v>
      </c>
      <c r="J160" s="309">
        <f t="shared" si="35"/>
        <v>0</v>
      </c>
      <c r="K160" s="302"/>
      <c r="L160" s="303">
        <f t="shared" si="36"/>
        <v>-30921.859545004943</v>
      </c>
      <c r="M160" s="308">
        <f t="shared" si="40"/>
        <v>138642.84904338545</v>
      </c>
      <c r="N160" s="310">
        <f t="shared" si="37"/>
        <v>107720.9894983805</v>
      </c>
      <c r="O160" s="302"/>
      <c r="P160" s="311" t="str">
        <f>Données!AC160</f>
        <v/>
      </c>
      <c r="Q160" s="307" t="str">
        <f>Données!AD160</f>
        <v/>
      </c>
      <c r="R160" s="302">
        <f t="shared" si="41"/>
        <v>0</v>
      </c>
      <c r="S160" s="308">
        <f t="shared" si="42"/>
        <v>0</v>
      </c>
      <c r="T160" s="302">
        <f t="shared" si="43"/>
        <v>23468.36158848587</v>
      </c>
      <c r="U160" s="312">
        <f t="shared" si="38"/>
        <v>23468.36158848587</v>
      </c>
    </row>
    <row r="161" spans="1:21" x14ac:dyDescent="0.25">
      <c r="A161" s="159">
        <f>Données!A161</f>
        <v>5669</v>
      </c>
      <c r="B161" s="160" t="str">
        <f>Données!B161</f>
        <v>Curtilles</v>
      </c>
      <c r="C161" s="307">
        <f>Données!C161</f>
        <v>302</v>
      </c>
      <c r="D161" s="303">
        <f t="shared" si="34"/>
        <v>302</v>
      </c>
      <c r="E161" s="303">
        <f t="shared" si="39"/>
        <v>0</v>
      </c>
      <c r="F161" s="308">
        <f t="shared" si="46"/>
        <v>0</v>
      </c>
      <c r="G161" s="302">
        <f t="shared" si="46"/>
        <v>0</v>
      </c>
      <c r="H161" s="303">
        <f t="shared" si="46"/>
        <v>0</v>
      </c>
      <c r="I161" s="308">
        <f t="shared" si="46"/>
        <v>0</v>
      </c>
      <c r="J161" s="309">
        <f t="shared" si="35"/>
        <v>0</v>
      </c>
      <c r="K161" s="302"/>
      <c r="L161" s="303">
        <f t="shared" si="36"/>
        <v>-40251.730959446089</v>
      </c>
      <c r="M161" s="308">
        <f t="shared" si="40"/>
        <v>180474.7431513035</v>
      </c>
      <c r="N161" s="310">
        <f t="shared" si="37"/>
        <v>140223.01219185742</v>
      </c>
      <c r="O161" s="302"/>
      <c r="P161" s="311" t="str">
        <f>Données!AC161</f>
        <v/>
      </c>
      <c r="Q161" s="307" t="str">
        <f>Données!AD161</f>
        <v/>
      </c>
      <c r="R161" s="302">
        <f t="shared" si="41"/>
        <v>0</v>
      </c>
      <c r="S161" s="308">
        <f t="shared" si="42"/>
        <v>0</v>
      </c>
      <c r="T161" s="302">
        <f t="shared" si="43"/>
        <v>30549.332757425571</v>
      </c>
      <c r="U161" s="312">
        <f t="shared" si="38"/>
        <v>30549.332757425571</v>
      </c>
    </row>
    <row r="162" spans="1:21" x14ac:dyDescent="0.25">
      <c r="A162" s="159">
        <f>Données!A162</f>
        <v>5671</v>
      </c>
      <c r="B162" s="160" t="str">
        <f>Données!B162</f>
        <v>Dompierre</v>
      </c>
      <c r="C162" s="307">
        <f>Données!C162</f>
        <v>242</v>
      </c>
      <c r="D162" s="303">
        <f t="shared" si="34"/>
        <v>242</v>
      </c>
      <c r="E162" s="303">
        <f t="shared" si="39"/>
        <v>0</v>
      </c>
      <c r="F162" s="308">
        <f t="shared" si="46"/>
        <v>0</v>
      </c>
      <c r="G162" s="302">
        <f t="shared" si="46"/>
        <v>0</v>
      </c>
      <c r="H162" s="303">
        <f t="shared" si="46"/>
        <v>0</v>
      </c>
      <c r="I162" s="308">
        <f t="shared" si="46"/>
        <v>0</v>
      </c>
      <c r="J162" s="309">
        <f t="shared" si="35"/>
        <v>0</v>
      </c>
      <c r="K162" s="302"/>
      <c r="L162" s="303">
        <f t="shared" si="36"/>
        <v>-32254.698318496536</v>
      </c>
      <c r="M162" s="308">
        <f t="shared" si="40"/>
        <v>144618.83391594517</v>
      </c>
      <c r="N162" s="310">
        <f t="shared" si="37"/>
        <v>112364.13559744864</v>
      </c>
      <c r="O162" s="302"/>
      <c r="P162" s="311" t="str">
        <f>Données!AC162</f>
        <v/>
      </c>
      <c r="Q162" s="307" t="str">
        <f>Données!AD162</f>
        <v/>
      </c>
      <c r="R162" s="302">
        <f t="shared" si="41"/>
        <v>0</v>
      </c>
      <c r="S162" s="308">
        <f t="shared" si="42"/>
        <v>0</v>
      </c>
      <c r="T162" s="302">
        <f t="shared" si="43"/>
        <v>24479.928898334398</v>
      </c>
      <c r="U162" s="312">
        <f t="shared" si="38"/>
        <v>24479.928898334398</v>
      </c>
    </row>
    <row r="163" spans="1:21" x14ac:dyDescent="0.25">
      <c r="A163" s="159">
        <f>Données!A163</f>
        <v>5673</v>
      </c>
      <c r="B163" s="160" t="str">
        <f>Données!B163</f>
        <v>Hermenches</v>
      </c>
      <c r="C163" s="307">
        <f>Données!C163</f>
        <v>364</v>
      </c>
      <c r="D163" s="303">
        <f t="shared" si="34"/>
        <v>364</v>
      </c>
      <c r="E163" s="303">
        <f t="shared" si="39"/>
        <v>0</v>
      </c>
      <c r="F163" s="308">
        <f t="shared" si="46"/>
        <v>0</v>
      </c>
      <c r="G163" s="302">
        <f t="shared" si="46"/>
        <v>0</v>
      </c>
      <c r="H163" s="303">
        <f t="shared" si="46"/>
        <v>0</v>
      </c>
      <c r="I163" s="308">
        <f t="shared" si="46"/>
        <v>0</v>
      </c>
      <c r="J163" s="309">
        <f t="shared" si="35"/>
        <v>0</v>
      </c>
      <c r="K163" s="302"/>
      <c r="L163" s="303">
        <f t="shared" si="36"/>
        <v>-48515.331355093964</v>
      </c>
      <c r="M163" s="308">
        <f t="shared" si="40"/>
        <v>217525.84936117375</v>
      </c>
      <c r="N163" s="310">
        <f t="shared" si="37"/>
        <v>169010.51800607977</v>
      </c>
      <c r="O163" s="302"/>
      <c r="P163" s="311" t="str">
        <f>Données!AC163</f>
        <v/>
      </c>
      <c r="Q163" s="307" t="str">
        <f>Données!AD163</f>
        <v/>
      </c>
      <c r="R163" s="302">
        <f t="shared" si="41"/>
        <v>0</v>
      </c>
      <c r="S163" s="308">
        <f t="shared" si="42"/>
        <v>0</v>
      </c>
      <c r="T163" s="302">
        <f t="shared" si="43"/>
        <v>36821.050078486449</v>
      </c>
      <c r="U163" s="312">
        <f t="shared" si="38"/>
        <v>36821.050078486449</v>
      </c>
    </row>
    <row r="164" spans="1:21" x14ac:dyDescent="0.25">
      <c r="A164" s="159">
        <f>Données!A164</f>
        <v>5674</v>
      </c>
      <c r="B164" s="160" t="str">
        <f>Données!B164</f>
        <v>Lovatens</v>
      </c>
      <c r="C164" s="307">
        <f>Données!C164</f>
        <v>152</v>
      </c>
      <c r="D164" s="303">
        <f t="shared" si="34"/>
        <v>152</v>
      </c>
      <c r="E164" s="303">
        <f t="shared" si="39"/>
        <v>0</v>
      </c>
      <c r="F164" s="308">
        <f t="shared" si="46"/>
        <v>0</v>
      </c>
      <c r="G164" s="302">
        <f t="shared" si="46"/>
        <v>0</v>
      </c>
      <c r="H164" s="303">
        <f t="shared" si="46"/>
        <v>0</v>
      </c>
      <c r="I164" s="308">
        <f t="shared" si="46"/>
        <v>0</v>
      </c>
      <c r="J164" s="309">
        <f t="shared" si="35"/>
        <v>0</v>
      </c>
      <c r="K164" s="302"/>
      <c r="L164" s="303">
        <f t="shared" si="36"/>
        <v>-20259.149357072205</v>
      </c>
      <c r="M164" s="308">
        <f t="shared" si="40"/>
        <v>90834.970062907712</v>
      </c>
      <c r="N164" s="310">
        <f t="shared" si="37"/>
        <v>70575.820705835504</v>
      </c>
      <c r="O164" s="302"/>
      <c r="P164" s="311" t="str">
        <f>Données!AC164</f>
        <v/>
      </c>
      <c r="Q164" s="307" t="str">
        <f>Données!AD164</f>
        <v/>
      </c>
      <c r="R164" s="302">
        <f t="shared" si="41"/>
        <v>0</v>
      </c>
      <c r="S164" s="308">
        <f t="shared" si="42"/>
        <v>0</v>
      </c>
      <c r="T164" s="302">
        <f t="shared" si="43"/>
        <v>15375.823109697638</v>
      </c>
      <c r="U164" s="312">
        <f t="shared" si="38"/>
        <v>15375.823109697638</v>
      </c>
    </row>
    <row r="165" spans="1:21" x14ac:dyDescent="0.25">
      <c r="A165" s="159">
        <f>Données!A165</f>
        <v>5675</v>
      </c>
      <c r="B165" s="160" t="str">
        <f>Données!B165</f>
        <v>Lucens</v>
      </c>
      <c r="C165" s="307">
        <f>Données!C165</f>
        <v>4892</v>
      </c>
      <c r="D165" s="303">
        <f t="shared" si="34"/>
        <v>1000</v>
      </c>
      <c r="E165" s="303">
        <f t="shared" si="39"/>
        <v>2000</v>
      </c>
      <c r="F165" s="308">
        <f t="shared" si="46"/>
        <v>1892</v>
      </c>
      <c r="G165" s="302">
        <f t="shared" si="46"/>
        <v>0</v>
      </c>
      <c r="H165" s="303">
        <f t="shared" si="46"/>
        <v>0</v>
      </c>
      <c r="I165" s="308">
        <f t="shared" si="46"/>
        <v>0</v>
      </c>
      <c r="J165" s="309">
        <f t="shared" si="35"/>
        <v>0</v>
      </c>
      <c r="K165" s="302"/>
      <c r="L165" s="303">
        <f t="shared" si="36"/>
        <v>-2140539.0702274977</v>
      </c>
      <c r="M165" s="308">
        <f t="shared" si="40"/>
        <v>2923451.7996562142</v>
      </c>
      <c r="N165" s="310">
        <f t="shared" si="37"/>
        <v>782912.72942871647</v>
      </c>
      <c r="O165" s="302"/>
      <c r="P165" s="311" t="str">
        <f>Données!AC165</f>
        <v/>
      </c>
      <c r="Q165" s="307" t="str">
        <f>Données!AD165</f>
        <v/>
      </c>
      <c r="R165" s="302">
        <f t="shared" si="41"/>
        <v>0</v>
      </c>
      <c r="S165" s="308">
        <f t="shared" si="42"/>
        <v>0</v>
      </c>
      <c r="T165" s="302">
        <f t="shared" si="43"/>
        <v>494858.7279779003</v>
      </c>
      <c r="U165" s="312">
        <f t="shared" si="38"/>
        <v>494858.7279779003</v>
      </c>
    </row>
    <row r="166" spans="1:21" x14ac:dyDescent="0.25">
      <c r="A166" s="159">
        <f>Données!A166</f>
        <v>5678</v>
      </c>
      <c r="B166" s="160" t="str">
        <f>Données!B166</f>
        <v>Moudon</v>
      </c>
      <c r="C166" s="307">
        <f>Données!C166</f>
        <v>6847</v>
      </c>
      <c r="D166" s="303">
        <f t="shared" si="34"/>
        <v>1000</v>
      </c>
      <c r="E166" s="303">
        <f t="shared" si="39"/>
        <v>2000</v>
      </c>
      <c r="F166" s="308">
        <f t="shared" si="46"/>
        <v>3847</v>
      </c>
      <c r="G166" s="302">
        <f t="shared" si="46"/>
        <v>0</v>
      </c>
      <c r="H166" s="303">
        <f t="shared" si="46"/>
        <v>0</v>
      </c>
      <c r="I166" s="308">
        <f t="shared" si="46"/>
        <v>0</v>
      </c>
      <c r="J166" s="309">
        <f t="shared" si="35"/>
        <v>0</v>
      </c>
      <c r="K166" s="302"/>
      <c r="L166" s="303">
        <f t="shared" si="36"/>
        <v>-3443388.9713155292</v>
      </c>
      <c r="M166" s="308">
        <f t="shared" si="40"/>
        <v>4091756.8422416388</v>
      </c>
      <c r="N166" s="310">
        <f t="shared" si="37"/>
        <v>648367.87092610961</v>
      </c>
      <c r="O166" s="302"/>
      <c r="P166" s="311" t="str">
        <f>Données!AC166</f>
        <v/>
      </c>
      <c r="Q166" s="307" t="str">
        <f>Données!AD166</f>
        <v/>
      </c>
      <c r="R166" s="302">
        <f t="shared" si="41"/>
        <v>0</v>
      </c>
      <c r="S166" s="308">
        <f t="shared" si="42"/>
        <v>0</v>
      </c>
      <c r="T166" s="302">
        <f t="shared" si="43"/>
        <v>692620.1370532877</v>
      </c>
      <c r="U166" s="312">
        <f t="shared" si="38"/>
        <v>692620.1370532877</v>
      </c>
    </row>
    <row r="167" spans="1:21" x14ac:dyDescent="0.25">
      <c r="A167" s="159">
        <f>Données!A167</f>
        <v>5680</v>
      </c>
      <c r="B167" s="160" t="str">
        <f>Données!B167</f>
        <v>Ogens</v>
      </c>
      <c r="C167" s="307">
        <f>Données!C167</f>
        <v>342</v>
      </c>
      <c r="D167" s="303">
        <f t="shared" si="34"/>
        <v>342</v>
      </c>
      <c r="E167" s="303">
        <f t="shared" si="39"/>
        <v>0</v>
      </c>
      <c r="F167" s="308">
        <f t="shared" si="46"/>
        <v>0</v>
      </c>
      <c r="G167" s="302">
        <f t="shared" si="46"/>
        <v>0</v>
      </c>
      <c r="H167" s="303">
        <f t="shared" si="46"/>
        <v>0</v>
      </c>
      <c r="I167" s="308">
        <f t="shared" si="46"/>
        <v>0</v>
      </c>
      <c r="J167" s="309">
        <f t="shared" si="35"/>
        <v>0</v>
      </c>
      <c r="K167" s="302"/>
      <c r="L167" s="303">
        <f t="shared" si="36"/>
        <v>-45583.086053412459</v>
      </c>
      <c r="M167" s="308">
        <f t="shared" si="40"/>
        <v>204378.68264154237</v>
      </c>
      <c r="N167" s="310">
        <f t="shared" si="37"/>
        <v>158795.59658812991</v>
      </c>
      <c r="O167" s="302"/>
      <c r="P167" s="311" t="str">
        <f>Données!AC167</f>
        <v/>
      </c>
      <c r="Q167" s="307" t="str">
        <f>Données!AD167</f>
        <v/>
      </c>
      <c r="R167" s="302">
        <f t="shared" si="41"/>
        <v>0</v>
      </c>
      <c r="S167" s="308">
        <f t="shared" si="42"/>
        <v>0</v>
      </c>
      <c r="T167" s="302">
        <f t="shared" si="43"/>
        <v>34595.601996819685</v>
      </c>
      <c r="U167" s="312">
        <f t="shared" si="38"/>
        <v>34595.601996819685</v>
      </c>
    </row>
    <row r="168" spans="1:21" x14ac:dyDescent="0.25">
      <c r="A168" s="159">
        <f>Données!A168</f>
        <v>5683</v>
      </c>
      <c r="B168" s="160" t="str">
        <f>Données!B168</f>
        <v>Prévonloup</v>
      </c>
      <c r="C168" s="307">
        <f>Données!C168</f>
        <v>249</v>
      </c>
      <c r="D168" s="303">
        <f t="shared" si="34"/>
        <v>249</v>
      </c>
      <c r="E168" s="303">
        <f t="shared" si="39"/>
        <v>0</v>
      </c>
      <c r="F168" s="308">
        <f t="shared" si="46"/>
        <v>0</v>
      </c>
      <c r="G168" s="302">
        <f t="shared" si="46"/>
        <v>0</v>
      </c>
      <c r="H168" s="303">
        <f t="shared" si="46"/>
        <v>0</v>
      </c>
      <c r="I168" s="308">
        <f t="shared" si="46"/>
        <v>0</v>
      </c>
      <c r="J168" s="309">
        <f t="shared" si="35"/>
        <v>0</v>
      </c>
      <c r="K168" s="302"/>
      <c r="L168" s="303">
        <f t="shared" si="36"/>
        <v>-33187.685459940651</v>
      </c>
      <c r="M168" s="308">
        <f t="shared" si="40"/>
        <v>148802.02332673699</v>
      </c>
      <c r="N168" s="310">
        <f t="shared" si="37"/>
        <v>115614.33786679634</v>
      </c>
      <c r="O168" s="302"/>
      <c r="P168" s="311" t="str">
        <f>Données!AC168</f>
        <v/>
      </c>
      <c r="Q168" s="307" t="str">
        <f>Données!AD168</f>
        <v/>
      </c>
      <c r="R168" s="302">
        <f t="shared" si="41"/>
        <v>0</v>
      </c>
      <c r="S168" s="308">
        <f t="shared" si="42"/>
        <v>0</v>
      </c>
      <c r="T168" s="302">
        <f t="shared" si="43"/>
        <v>25188.02601522837</v>
      </c>
      <c r="U168" s="312">
        <f t="shared" si="38"/>
        <v>25188.02601522837</v>
      </c>
    </row>
    <row r="169" spans="1:21" x14ac:dyDescent="0.25">
      <c r="A169" s="159">
        <f>Données!A169</f>
        <v>5684</v>
      </c>
      <c r="B169" s="160" t="str">
        <f>Données!B169</f>
        <v>Rossenges</v>
      </c>
      <c r="C169" s="307">
        <f>Données!C169</f>
        <v>82</v>
      </c>
      <c r="D169" s="303">
        <f t="shared" si="34"/>
        <v>82</v>
      </c>
      <c r="E169" s="303">
        <f t="shared" si="39"/>
        <v>0</v>
      </c>
      <c r="F169" s="308">
        <f t="shared" ref="F169:I178" si="47">IF($C169&lt;F$4,0,IF($C169&gt;F$5,F$5-F$4,$C169-F$4))</f>
        <v>0</v>
      </c>
      <c r="G169" s="302">
        <f t="shared" si="47"/>
        <v>0</v>
      </c>
      <c r="H169" s="303">
        <f t="shared" si="47"/>
        <v>0</v>
      </c>
      <c r="I169" s="308">
        <f t="shared" si="47"/>
        <v>0</v>
      </c>
      <c r="J169" s="309">
        <f t="shared" si="35"/>
        <v>0</v>
      </c>
      <c r="K169" s="302"/>
      <c r="L169" s="303">
        <f t="shared" si="36"/>
        <v>-10929.277942631057</v>
      </c>
      <c r="M169" s="308">
        <f t="shared" si="40"/>
        <v>49003.07595498969</v>
      </c>
      <c r="N169" s="310">
        <f t="shared" si="37"/>
        <v>38073.798012358631</v>
      </c>
      <c r="O169" s="302"/>
      <c r="P169" s="311" t="str">
        <f>Données!AC169</f>
        <v/>
      </c>
      <c r="Q169" s="307" t="str">
        <f>Données!AD169</f>
        <v/>
      </c>
      <c r="R169" s="302">
        <f t="shared" si="41"/>
        <v>0</v>
      </c>
      <c r="S169" s="308">
        <f t="shared" si="42"/>
        <v>0</v>
      </c>
      <c r="T169" s="302">
        <f t="shared" si="43"/>
        <v>8294.851940757937</v>
      </c>
      <c r="U169" s="312">
        <f t="shared" si="38"/>
        <v>8294.851940757937</v>
      </c>
    </row>
    <row r="170" spans="1:21" x14ac:dyDescent="0.25">
      <c r="A170" s="159">
        <f>Données!A170</f>
        <v>5688</v>
      </c>
      <c r="B170" s="160" t="str">
        <f>Données!B170</f>
        <v>Syens</v>
      </c>
      <c r="C170" s="307">
        <f>Données!C170</f>
        <v>144</v>
      </c>
      <c r="D170" s="303">
        <f t="shared" si="34"/>
        <v>144</v>
      </c>
      <c r="E170" s="303">
        <f t="shared" si="39"/>
        <v>0</v>
      </c>
      <c r="F170" s="308">
        <f t="shared" si="47"/>
        <v>0</v>
      </c>
      <c r="G170" s="302">
        <f t="shared" si="47"/>
        <v>0</v>
      </c>
      <c r="H170" s="303">
        <f t="shared" si="47"/>
        <v>0</v>
      </c>
      <c r="I170" s="308">
        <f t="shared" si="47"/>
        <v>0</v>
      </c>
      <c r="J170" s="309">
        <f t="shared" si="35"/>
        <v>0</v>
      </c>
      <c r="K170" s="302"/>
      <c r="L170" s="303">
        <f t="shared" si="36"/>
        <v>-19192.87833827893</v>
      </c>
      <c r="M170" s="308">
        <f t="shared" si="40"/>
        <v>86054.182164859943</v>
      </c>
      <c r="N170" s="310">
        <f t="shared" si="37"/>
        <v>66861.303826581017</v>
      </c>
      <c r="O170" s="302"/>
      <c r="P170" s="311" t="str">
        <f>Données!AC170</f>
        <v/>
      </c>
      <c r="Q170" s="307" t="str">
        <f>Données!AD170</f>
        <v/>
      </c>
      <c r="R170" s="302">
        <f t="shared" si="41"/>
        <v>0</v>
      </c>
      <c r="S170" s="308">
        <f t="shared" si="42"/>
        <v>0</v>
      </c>
      <c r="T170" s="302">
        <f t="shared" si="43"/>
        <v>14566.569261818815</v>
      </c>
      <c r="U170" s="312">
        <f t="shared" si="38"/>
        <v>14566.569261818815</v>
      </c>
    </row>
    <row r="171" spans="1:21" x14ac:dyDescent="0.25">
      <c r="A171" s="159">
        <f>Données!A171</f>
        <v>5690</v>
      </c>
      <c r="B171" s="160" t="str">
        <f>Données!B171</f>
        <v>Villars-le-Comte</v>
      </c>
      <c r="C171" s="307">
        <f>Données!C171</f>
        <v>129</v>
      </c>
      <c r="D171" s="303">
        <f t="shared" si="34"/>
        <v>129</v>
      </c>
      <c r="E171" s="303">
        <f t="shared" si="39"/>
        <v>0</v>
      </c>
      <c r="F171" s="308">
        <f t="shared" si="47"/>
        <v>0</v>
      </c>
      <c r="G171" s="302">
        <f t="shared" si="47"/>
        <v>0</v>
      </c>
      <c r="H171" s="303">
        <f t="shared" si="47"/>
        <v>0</v>
      </c>
      <c r="I171" s="308">
        <f t="shared" si="47"/>
        <v>0</v>
      </c>
      <c r="J171" s="309">
        <f t="shared" si="35"/>
        <v>0</v>
      </c>
      <c r="K171" s="302"/>
      <c r="L171" s="303">
        <f t="shared" si="36"/>
        <v>-17193.620178041543</v>
      </c>
      <c r="M171" s="308">
        <f t="shared" si="40"/>
        <v>77090.204856020369</v>
      </c>
      <c r="N171" s="310">
        <f t="shared" si="37"/>
        <v>59896.584677978826</v>
      </c>
      <c r="O171" s="302"/>
      <c r="P171" s="311" t="str">
        <f>Données!AC171</f>
        <v/>
      </c>
      <c r="Q171" s="307" t="str">
        <f>Données!AD171</f>
        <v/>
      </c>
      <c r="R171" s="302">
        <f t="shared" si="41"/>
        <v>0</v>
      </c>
      <c r="S171" s="308">
        <f t="shared" si="42"/>
        <v>0</v>
      </c>
      <c r="T171" s="302">
        <f t="shared" si="43"/>
        <v>13049.218297046022</v>
      </c>
      <c r="U171" s="312">
        <f t="shared" si="38"/>
        <v>13049.218297046022</v>
      </c>
    </row>
    <row r="172" spans="1:21" x14ac:dyDescent="0.25">
      <c r="A172" s="159">
        <f>Données!A172</f>
        <v>5692</v>
      </c>
      <c r="B172" s="160" t="str">
        <f>Données!B172</f>
        <v>Vucherens</v>
      </c>
      <c r="C172" s="307">
        <f>Données!C172</f>
        <v>634</v>
      </c>
      <c r="D172" s="303">
        <f t="shared" si="34"/>
        <v>634</v>
      </c>
      <c r="E172" s="303">
        <f t="shared" si="39"/>
        <v>0</v>
      </c>
      <c r="F172" s="308">
        <f t="shared" si="47"/>
        <v>0</v>
      </c>
      <c r="G172" s="302">
        <f t="shared" si="47"/>
        <v>0</v>
      </c>
      <c r="H172" s="303">
        <f t="shared" si="47"/>
        <v>0</v>
      </c>
      <c r="I172" s="308">
        <f t="shared" si="47"/>
        <v>0</v>
      </c>
      <c r="J172" s="309">
        <f t="shared" si="35"/>
        <v>0</v>
      </c>
      <c r="K172" s="302"/>
      <c r="L172" s="303">
        <f t="shared" si="36"/>
        <v>-84501.978239366959</v>
      </c>
      <c r="M172" s="308">
        <f t="shared" si="40"/>
        <v>378877.44092028611</v>
      </c>
      <c r="N172" s="310">
        <f t="shared" si="37"/>
        <v>294375.46268091915</v>
      </c>
      <c r="O172" s="302"/>
      <c r="P172" s="311" t="str">
        <f>Données!AC172</f>
        <v/>
      </c>
      <c r="Q172" s="307" t="str">
        <f>Données!AD172</f>
        <v/>
      </c>
      <c r="R172" s="302">
        <f t="shared" si="41"/>
        <v>0</v>
      </c>
      <c r="S172" s="308">
        <f t="shared" si="42"/>
        <v>0</v>
      </c>
      <c r="T172" s="302">
        <f t="shared" si="43"/>
        <v>64133.367444396732</v>
      </c>
      <c r="U172" s="312">
        <f t="shared" si="38"/>
        <v>64133.367444396732</v>
      </c>
    </row>
    <row r="173" spans="1:21" x14ac:dyDescent="0.25">
      <c r="A173" s="159">
        <f>Données!A173</f>
        <v>5693</v>
      </c>
      <c r="B173" s="160" t="str">
        <f>Données!B173</f>
        <v>Montanaire</v>
      </c>
      <c r="C173" s="307">
        <f>Données!C173</f>
        <v>2856</v>
      </c>
      <c r="D173" s="303">
        <f t="shared" si="34"/>
        <v>1000</v>
      </c>
      <c r="E173" s="303">
        <f t="shared" si="39"/>
        <v>1856</v>
      </c>
      <c r="F173" s="308">
        <f t="shared" si="47"/>
        <v>0</v>
      </c>
      <c r="G173" s="302">
        <f t="shared" si="47"/>
        <v>0</v>
      </c>
      <c r="H173" s="303">
        <f t="shared" si="47"/>
        <v>0</v>
      </c>
      <c r="I173" s="308">
        <f t="shared" si="47"/>
        <v>0</v>
      </c>
      <c r="J173" s="309">
        <f t="shared" si="35"/>
        <v>0</v>
      </c>
      <c r="K173" s="302"/>
      <c r="L173" s="303">
        <f t="shared" si="36"/>
        <v>-825933.53115727007</v>
      </c>
      <c r="M173" s="308">
        <f t="shared" si="40"/>
        <v>1706741.2796030554</v>
      </c>
      <c r="N173" s="310">
        <f t="shared" si="37"/>
        <v>880807.74844578537</v>
      </c>
      <c r="O173" s="302"/>
      <c r="P173" s="311" t="str">
        <f>Données!AC173</f>
        <v/>
      </c>
      <c r="Q173" s="307" t="str">
        <f>Données!AD173</f>
        <v/>
      </c>
      <c r="R173" s="302">
        <f t="shared" si="41"/>
        <v>0</v>
      </c>
      <c r="S173" s="308">
        <f t="shared" si="42"/>
        <v>0</v>
      </c>
      <c r="T173" s="302">
        <f t="shared" si="43"/>
        <v>288903.62369273981</v>
      </c>
      <c r="U173" s="312">
        <f t="shared" si="38"/>
        <v>288903.62369273981</v>
      </c>
    </row>
    <row r="174" spans="1:21" x14ac:dyDescent="0.25">
      <c r="A174" s="159">
        <f>Données!A174</f>
        <v>5701</v>
      </c>
      <c r="B174" s="160" t="str">
        <f>Données!B174</f>
        <v>Arnex-sur-Nyon</v>
      </c>
      <c r="C174" s="307">
        <f>Données!C174</f>
        <v>274</v>
      </c>
      <c r="D174" s="303">
        <f t="shared" si="34"/>
        <v>274</v>
      </c>
      <c r="E174" s="303">
        <f t="shared" si="39"/>
        <v>0</v>
      </c>
      <c r="F174" s="308">
        <f t="shared" si="47"/>
        <v>0</v>
      </c>
      <c r="G174" s="302">
        <f t="shared" si="47"/>
        <v>0</v>
      </c>
      <c r="H174" s="303">
        <f t="shared" si="47"/>
        <v>0</v>
      </c>
      <c r="I174" s="308">
        <f t="shared" si="47"/>
        <v>0</v>
      </c>
      <c r="J174" s="309">
        <f t="shared" si="35"/>
        <v>0</v>
      </c>
      <c r="K174" s="302"/>
      <c r="L174" s="303">
        <f t="shared" si="36"/>
        <v>-36519.78239366963</v>
      </c>
      <c r="M174" s="308">
        <f t="shared" si="40"/>
        <v>163741.98550813628</v>
      </c>
      <c r="N174" s="310">
        <f t="shared" si="37"/>
        <v>127222.20311446665</v>
      </c>
      <c r="O174" s="302"/>
      <c r="P174" s="311" t="str">
        <f>Données!AC174</f>
        <v/>
      </c>
      <c r="Q174" s="307" t="str">
        <f>Données!AD174</f>
        <v/>
      </c>
      <c r="R174" s="302">
        <f t="shared" si="41"/>
        <v>0</v>
      </c>
      <c r="S174" s="308">
        <f t="shared" si="42"/>
        <v>0</v>
      </c>
      <c r="T174" s="302">
        <f t="shared" si="43"/>
        <v>27716.944289849689</v>
      </c>
      <c r="U174" s="312">
        <f t="shared" si="38"/>
        <v>27716.944289849689</v>
      </c>
    </row>
    <row r="175" spans="1:21" x14ac:dyDescent="0.25">
      <c r="A175" s="159">
        <f>Données!A175</f>
        <v>5702</v>
      </c>
      <c r="B175" s="160" t="str">
        <f>Données!B175</f>
        <v>Arzier-Le Muids</v>
      </c>
      <c r="C175" s="307">
        <f>Données!C175</f>
        <v>2999</v>
      </c>
      <c r="D175" s="303">
        <f t="shared" si="34"/>
        <v>1000</v>
      </c>
      <c r="E175" s="303">
        <f t="shared" si="39"/>
        <v>1999</v>
      </c>
      <c r="F175" s="308">
        <f t="shared" si="47"/>
        <v>0</v>
      </c>
      <c r="G175" s="302">
        <f t="shared" si="47"/>
        <v>0</v>
      </c>
      <c r="H175" s="303">
        <f t="shared" si="47"/>
        <v>0</v>
      </c>
      <c r="I175" s="308">
        <f t="shared" si="47"/>
        <v>0</v>
      </c>
      <c r="J175" s="309">
        <f t="shared" si="35"/>
        <v>0</v>
      </c>
      <c r="K175" s="302"/>
      <c r="L175" s="303">
        <f t="shared" si="36"/>
        <v>-879300.3956478734</v>
      </c>
      <c r="M175" s="308">
        <f t="shared" si="40"/>
        <v>1792197.8632806595</v>
      </c>
      <c r="N175" s="310">
        <f t="shared" si="37"/>
        <v>912897.46763278614</v>
      </c>
      <c r="O175" s="302"/>
      <c r="P175" s="311" t="str">
        <f>Données!AC175</f>
        <v/>
      </c>
      <c r="Q175" s="307" t="str">
        <f>Données!AD175</f>
        <v/>
      </c>
      <c r="R175" s="302">
        <f t="shared" si="41"/>
        <v>0</v>
      </c>
      <c r="S175" s="308">
        <f t="shared" si="42"/>
        <v>0</v>
      </c>
      <c r="T175" s="302">
        <f t="shared" si="43"/>
        <v>303369.03622357378</v>
      </c>
      <c r="U175" s="312">
        <f t="shared" si="38"/>
        <v>303369.03622357378</v>
      </c>
    </row>
    <row r="176" spans="1:21" x14ac:dyDescent="0.25">
      <c r="A176" s="159">
        <f>Données!A176</f>
        <v>5703</v>
      </c>
      <c r="B176" s="160" t="str">
        <f>Données!B176</f>
        <v>Bassins</v>
      </c>
      <c r="C176" s="307">
        <f>Données!C176</f>
        <v>1468</v>
      </c>
      <c r="D176" s="303">
        <f t="shared" si="34"/>
        <v>1000</v>
      </c>
      <c r="E176" s="303">
        <f t="shared" si="39"/>
        <v>468</v>
      </c>
      <c r="F176" s="308">
        <f t="shared" si="47"/>
        <v>0</v>
      </c>
      <c r="G176" s="302">
        <f t="shared" si="47"/>
        <v>0</v>
      </c>
      <c r="H176" s="303">
        <f t="shared" si="47"/>
        <v>0</v>
      </c>
      <c r="I176" s="308">
        <f t="shared" si="47"/>
        <v>0</v>
      </c>
      <c r="J176" s="309">
        <f t="shared" si="35"/>
        <v>0</v>
      </c>
      <c r="K176" s="302"/>
      <c r="L176" s="303">
        <f t="shared" si="36"/>
        <v>-307939.07022749749</v>
      </c>
      <c r="M176" s="308">
        <f t="shared" si="40"/>
        <v>877274.57929176663</v>
      </c>
      <c r="N176" s="310">
        <f t="shared" si="37"/>
        <v>569335.50906426914</v>
      </c>
      <c r="O176" s="302"/>
      <c r="P176" s="311" t="str">
        <f>Données!AC176</f>
        <v/>
      </c>
      <c r="Q176" s="307" t="str">
        <f>Données!AD176</f>
        <v/>
      </c>
      <c r="R176" s="302">
        <f t="shared" si="41"/>
        <v>0</v>
      </c>
      <c r="S176" s="308">
        <f t="shared" si="42"/>
        <v>0</v>
      </c>
      <c r="T176" s="302">
        <f t="shared" si="43"/>
        <v>148498.08108576405</v>
      </c>
      <c r="U176" s="312">
        <f t="shared" si="38"/>
        <v>148498.08108576405</v>
      </c>
    </row>
    <row r="177" spans="1:21" x14ac:dyDescent="0.25">
      <c r="A177" s="159">
        <f>Données!A177</f>
        <v>5704</v>
      </c>
      <c r="B177" s="160" t="str">
        <f>Données!B177</f>
        <v>Begnins</v>
      </c>
      <c r="C177" s="307">
        <f>Données!C177</f>
        <v>2047</v>
      </c>
      <c r="D177" s="303">
        <f t="shared" si="34"/>
        <v>1000</v>
      </c>
      <c r="E177" s="303">
        <f t="shared" si="39"/>
        <v>1047</v>
      </c>
      <c r="F177" s="308">
        <f t="shared" si="47"/>
        <v>0</v>
      </c>
      <c r="G177" s="302">
        <f t="shared" si="47"/>
        <v>0</v>
      </c>
      <c r="H177" s="303">
        <f t="shared" si="47"/>
        <v>0</v>
      </c>
      <c r="I177" s="308">
        <f t="shared" si="47"/>
        <v>0</v>
      </c>
      <c r="J177" s="309">
        <f t="shared" si="35"/>
        <v>0</v>
      </c>
      <c r="K177" s="302"/>
      <c r="L177" s="303">
        <f t="shared" si="36"/>
        <v>-524018.89218595449</v>
      </c>
      <c r="M177" s="308">
        <f t="shared" si="40"/>
        <v>1223284.1034129744</v>
      </c>
      <c r="N177" s="310">
        <f t="shared" si="37"/>
        <v>699265.2112270199</v>
      </c>
      <c r="O177" s="302"/>
      <c r="P177" s="311" t="str">
        <f>Données!AC177</f>
        <v/>
      </c>
      <c r="Q177" s="307" t="str">
        <f>Données!AD177</f>
        <v/>
      </c>
      <c r="R177" s="302">
        <f t="shared" si="41"/>
        <v>0</v>
      </c>
      <c r="S177" s="308">
        <f t="shared" si="42"/>
        <v>0</v>
      </c>
      <c r="T177" s="302">
        <f t="shared" si="43"/>
        <v>207067.82832599385</v>
      </c>
      <c r="U177" s="312">
        <f t="shared" si="38"/>
        <v>207067.82832599385</v>
      </c>
    </row>
    <row r="178" spans="1:21" x14ac:dyDescent="0.25">
      <c r="A178" s="159">
        <f>Données!A178</f>
        <v>5705</v>
      </c>
      <c r="B178" s="160" t="str">
        <f>Données!B178</f>
        <v>Bogis-Bossey</v>
      </c>
      <c r="C178" s="307">
        <f>Données!C178</f>
        <v>961</v>
      </c>
      <c r="D178" s="303">
        <f t="shared" si="34"/>
        <v>961</v>
      </c>
      <c r="E178" s="303">
        <f t="shared" si="39"/>
        <v>0</v>
      </c>
      <c r="F178" s="308">
        <f t="shared" si="47"/>
        <v>0</v>
      </c>
      <c r="G178" s="302">
        <f t="shared" si="47"/>
        <v>0</v>
      </c>
      <c r="H178" s="303">
        <f t="shared" si="47"/>
        <v>0</v>
      </c>
      <c r="I178" s="308">
        <f t="shared" si="47"/>
        <v>0</v>
      </c>
      <c r="J178" s="309">
        <f t="shared" si="35"/>
        <v>0</v>
      </c>
      <c r="K178" s="302"/>
      <c r="L178" s="303">
        <f t="shared" si="36"/>
        <v>-128085.80613254203</v>
      </c>
      <c r="M178" s="308">
        <f t="shared" si="40"/>
        <v>574292.14625298895</v>
      </c>
      <c r="N178" s="310">
        <f t="shared" si="37"/>
        <v>446206.34012044693</v>
      </c>
      <c r="O178" s="302"/>
      <c r="P178" s="311" t="str">
        <f>Données!AC178</f>
        <v/>
      </c>
      <c r="Q178" s="307" t="str">
        <f>Données!AD178</f>
        <v/>
      </c>
      <c r="R178" s="302">
        <f t="shared" si="41"/>
        <v>0</v>
      </c>
      <c r="S178" s="308">
        <f t="shared" si="42"/>
        <v>0</v>
      </c>
      <c r="T178" s="302">
        <f t="shared" si="43"/>
        <v>97211.618476443618</v>
      </c>
      <c r="U178" s="312">
        <f t="shared" si="38"/>
        <v>97211.618476443618</v>
      </c>
    </row>
    <row r="179" spans="1:21" x14ac:dyDescent="0.25">
      <c r="A179" s="159">
        <f>Données!A179</f>
        <v>5706</v>
      </c>
      <c r="B179" s="160" t="str">
        <f>Données!B179</f>
        <v>Borex</v>
      </c>
      <c r="C179" s="307">
        <f>Données!C179</f>
        <v>1168</v>
      </c>
      <c r="D179" s="303">
        <f t="shared" si="34"/>
        <v>1000</v>
      </c>
      <c r="E179" s="303">
        <f t="shared" si="39"/>
        <v>168</v>
      </c>
      <c r="F179" s="308">
        <f t="shared" ref="F179:I188" si="48">IF($C179&lt;F$4,0,IF($C179&gt;F$5,F$5-F$4,$C179-F$4))</f>
        <v>0</v>
      </c>
      <c r="G179" s="302">
        <f t="shared" si="48"/>
        <v>0</v>
      </c>
      <c r="H179" s="303">
        <f t="shared" si="48"/>
        <v>0</v>
      </c>
      <c r="I179" s="308">
        <f t="shared" si="48"/>
        <v>0</v>
      </c>
      <c r="J179" s="309">
        <f t="shared" si="35"/>
        <v>0</v>
      </c>
      <c r="K179" s="302"/>
      <c r="L179" s="303">
        <f t="shared" si="36"/>
        <v>-195980.61325420375</v>
      </c>
      <c r="M179" s="308">
        <f t="shared" si="40"/>
        <v>697995.03311497509</v>
      </c>
      <c r="N179" s="310">
        <f t="shared" si="37"/>
        <v>502014.41986077133</v>
      </c>
      <c r="O179" s="302"/>
      <c r="P179" s="311" t="str">
        <f>Données!AC179</f>
        <v/>
      </c>
      <c r="Q179" s="307" t="str">
        <f>Données!AD179</f>
        <v/>
      </c>
      <c r="R179" s="302">
        <f t="shared" si="41"/>
        <v>0</v>
      </c>
      <c r="S179" s="308">
        <f t="shared" si="42"/>
        <v>0</v>
      </c>
      <c r="T179" s="302">
        <f t="shared" si="43"/>
        <v>118151.06179030817</v>
      </c>
      <c r="U179" s="312">
        <f t="shared" si="38"/>
        <v>118151.06179030817</v>
      </c>
    </row>
    <row r="180" spans="1:21" x14ac:dyDescent="0.25">
      <c r="A180" s="159">
        <f>Données!A180</f>
        <v>5707</v>
      </c>
      <c r="B180" s="160" t="str">
        <f>Données!B180</f>
        <v>Chavannes-de-Bogis</v>
      </c>
      <c r="C180" s="307">
        <f>Données!C180</f>
        <v>1423</v>
      </c>
      <c r="D180" s="303">
        <f t="shared" si="34"/>
        <v>1000</v>
      </c>
      <c r="E180" s="303">
        <f t="shared" si="39"/>
        <v>423</v>
      </c>
      <c r="F180" s="308">
        <f t="shared" si="48"/>
        <v>0</v>
      </c>
      <c r="G180" s="302">
        <f t="shared" si="48"/>
        <v>0</v>
      </c>
      <c r="H180" s="303">
        <f t="shared" si="48"/>
        <v>0</v>
      </c>
      <c r="I180" s="308">
        <f t="shared" si="48"/>
        <v>0</v>
      </c>
      <c r="J180" s="309">
        <f t="shared" si="35"/>
        <v>0</v>
      </c>
      <c r="K180" s="302"/>
      <c r="L180" s="303">
        <f t="shared" si="36"/>
        <v>-291145.30168150342</v>
      </c>
      <c r="M180" s="308">
        <f t="shared" si="40"/>
        <v>850382.64736524783</v>
      </c>
      <c r="N180" s="310">
        <f t="shared" si="37"/>
        <v>559237.34568374441</v>
      </c>
      <c r="O180" s="302"/>
      <c r="P180" s="311" t="str">
        <f>Données!AC180</f>
        <v/>
      </c>
      <c r="Q180" s="307" t="str">
        <f>Données!AD180</f>
        <v/>
      </c>
      <c r="R180" s="302">
        <f t="shared" si="41"/>
        <v>0</v>
      </c>
      <c r="S180" s="308">
        <f t="shared" si="42"/>
        <v>0</v>
      </c>
      <c r="T180" s="302">
        <f t="shared" si="43"/>
        <v>143946.02819144566</v>
      </c>
      <c r="U180" s="312">
        <f t="shared" si="38"/>
        <v>143946.02819144566</v>
      </c>
    </row>
    <row r="181" spans="1:21" x14ac:dyDescent="0.25">
      <c r="A181" s="159">
        <f>Données!A181</f>
        <v>5708</v>
      </c>
      <c r="B181" s="160" t="str">
        <f>Données!B181</f>
        <v>Chavannes-des-Bois</v>
      </c>
      <c r="C181" s="307">
        <f>Données!C181</f>
        <v>983</v>
      </c>
      <c r="D181" s="303">
        <f t="shared" si="34"/>
        <v>983</v>
      </c>
      <c r="E181" s="303">
        <f t="shared" si="39"/>
        <v>0</v>
      </c>
      <c r="F181" s="308">
        <f t="shared" si="48"/>
        <v>0</v>
      </c>
      <c r="G181" s="302">
        <f t="shared" si="48"/>
        <v>0</v>
      </c>
      <c r="H181" s="303">
        <f t="shared" si="48"/>
        <v>0</v>
      </c>
      <c r="I181" s="308">
        <f t="shared" si="48"/>
        <v>0</v>
      </c>
      <c r="J181" s="309">
        <f t="shared" si="35"/>
        <v>0</v>
      </c>
      <c r="K181" s="302"/>
      <c r="L181" s="303">
        <f t="shared" si="36"/>
        <v>-131018.05143422354</v>
      </c>
      <c r="M181" s="308">
        <f t="shared" si="40"/>
        <v>587439.31297262025</v>
      </c>
      <c r="N181" s="310">
        <f t="shared" si="37"/>
        <v>456421.26153839671</v>
      </c>
      <c r="O181" s="302"/>
      <c r="P181" s="311" t="str">
        <f>Données!AC181</f>
        <v/>
      </c>
      <c r="Q181" s="307" t="str">
        <f>Données!AD181</f>
        <v/>
      </c>
      <c r="R181" s="302">
        <f t="shared" si="41"/>
        <v>0</v>
      </c>
      <c r="S181" s="308">
        <f t="shared" si="42"/>
        <v>0</v>
      </c>
      <c r="T181" s="302">
        <f t="shared" si="43"/>
        <v>99437.066558110382</v>
      </c>
      <c r="U181" s="312">
        <f t="shared" si="38"/>
        <v>99437.066558110382</v>
      </c>
    </row>
    <row r="182" spans="1:21" x14ac:dyDescent="0.25">
      <c r="A182" s="159">
        <f>Données!A182</f>
        <v>5709</v>
      </c>
      <c r="B182" s="160" t="str">
        <f>Données!B182</f>
        <v>Chéserex</v>
      </c>
      <c r="C182" s="307">
        <f>Données!C182</f>
        <v>1272</v>
      </c>
      <c r="D182" s="303">
        <f t="shared" si="34"/>
        <v>1000</v>
      </c>
      <c r="E182" s="303">
        <f t="shared" si="39"/>
        <v>272</v>
      </c>
      <c r="F182" s="308">
        <f t="shared" si="48"/>
        <v>0</v>
      </c>
      <c r="G182" s="302">
        <f t="shared" si="48"/>
        <v>0</v>
      </c>
      <c r="H182" s="303">
        <f t="shared" si="48"/>
        <v>0</v>
      </c>
      <c r="I182" s="308">
        <f t="shared" si="48"/>
        <v>0</v>
      </c>
      <c r="J182" s="309">
        <f t="shared" si="35"/>
        <v>0</v>
      </c>
      <c r="K182" s="302"/>
      <c r="L182" s="303">
        <f t="shared" si="36"/>
        <v>-234792.87833827891</v>
      </c>
      <c r="M182" s="308">
        <f t="shared" si="40"/>
        <v>760145.27578959614</v>
      </c>
      <c r="N182" s="310">
        <f t="shared" si="37"/>
        <v>525352.39745131717</v>
      </c>
      <c r="O182" s="302"/>
      <c r="P182" s="311" t="str">
        <f>Données!AC182</f>
        <v/>
      </c>
      <c r="Q182" s="307" t="str">
        <f>Données!AD182</f>
        <v/>
      </c>
      <c r="R182" s="302">
        <f t="shared" si="41"/>
        <v>0</v>
      </c>
      <c r="S182" s="308">
        <f t="shared" si="42"/>
        <v>0</v>
      </c>
      <c r="T182" s="302">
        <f t="shared" si="43"/>
        <v>128671.36181273287</v>
      </c>
      <c r="U182" s="312">
        <f t="shared" si="38"/>
        <v>128671.36181273287</v>
      </c>
    </row>
    <row r="183" spans="1:21" x14ac:dyDescent="0.25">
      <c r="A183" s="159">
        <f>Données!A183</f>
        <v>5710</v>
      </c>
      <c r="B183" s="160" t="str">
        <f>Données!B183</f>
        <v>Coinsins</v>
      </c>
      <c r="C183" s="307">
        <f>Données!C183</f>
        <v>510</v>
      </c>
      <c r="D183" s="303">
        <f t="shared" si="34"/>
        <v>510</v>
      </c>
      <c r="E183" s="303">
        <f t="shared" si="39"/>
        <v>0</v>
      </c>
      <c r="F183" s="308">
        <f t="shared" si="48"/>
        <v>0</v>
      </c>
      <c r="G183" s="302">
        <f t="shared" si="48"/>
        <v>0</v>
      </c>
      <c r="H183" s="303">
        <f t="shared" si="48"/>
        <v>0</v>
      </c>
      <c r="I183" s="308">
        <f t="shared" si="48"/>
        <v>0</v>
      </c>
      <c r="J183" s="309">
        <f t="shared" si="35"/>
        <v>0</v>
      </c>
      <c r="K183" s="302"/>
      <c r="L183" s="303">
        <f t="shared" si="36"/>
        <v>-67974.777448071211</v>
      </c>
      <c r="M183" s="308">
        <f t="shared" si="40"/>
        <v>304775.22850054561</v>
      </c>
      <c r="N183" s="310">
        <f t="shared" si="37"/>
        <v>236800.45105247438</v>
      </c>
      <c r="O183" s="302"/>
      <c r="P183" s="311" t="str">
        <f>Données!AC183</f>
        <v/>
      </c>
      <c r="Q183" s="307" t="str">
        <f>Données!AD183</f>
        <v/>
      </c>
      <c r="R183" s="302">
        <f t="shared" si="41"/>
        <v>0</v>
      </c>
      <c r="S183" s="308">
        <f t="shared" si="42"/>
        <v>0</v>
      </c>
      <c r="T183" s="302">
        <f t="shared" si="43"/>
        <v>51589.932802274969</v>
      </c>
      <c r="U183" s="312">
        <f t="shared" si="38"/>
        <v>51589.932802274969</v>
      </c>
    </row>
    <row r="184" spans="1:21" x14ac:dyDescent="0.25">
      <c r="A184" s="159">
        <f>Données!A184</f>
        <v>5711</v>
      </c>
      <c r="B184" s="160" t="str">
        <f>Données!B184</f>
        <v>Commugny</v>
      </c>
      <c r="C184" s="307">
        <f>Données!C184</f>
        <v>2968</v>
      </c>
      <c r="D184" s="303">
        <f t="shared" si="34"/>
        <v>1000</v>
      </c>
      <c r="E184" s="303">
        <f t="shared" si="39"/>
        <v>1968</v>
      </c>
      <c r="F184" s="308">
        <f t="shared" si="48"/>
        <v>0</v>
      </c>
      <c r="G184" s="302">
        <f t="shared" si="48"/>
        <v>0</v>
      </c>
      <c r="H184" s="303">
        <f t="shared" si="48"/>
        <v>0</v>
      </c>
      <c r="I184" s="308">
        <f t="shared" si="48"/>
        <v>0</v>
      </c>
      <c r="J184" s="309">
        <f t="shared" si="35"/>
        <v>0</v>
      </c>
      <c r="K184" s="302"/>
      <c r="L184" s="303">
        <f t="shared" si="36"/>
        <v>-867731.35509396635</v>
      </c>
      <c r="M184" s="308">
        <f t="shared" si="40"/>
        <v>1773672.3101757243</v>
      </c>
      <c r="N184" s="310">
        <f t="shared" si="37"/>
        <v>905940.95508175797</v>
      </c>
      <c r="O184" s="302"/>
      <c r="P184" s="311" t="str">
        <f>Données!AC184</f>
        <v/>
      </c>
      <c r="Q184" s="307" t="str">
        <f>Données!AD184</f>
        <v/>
      </c>
      <c r="R184" s="302">
        <f t="shared" si="41"/>
        <v>0</v>
      </c>
      <c r="S184" s="308">
        <f t="shared" si="42"/>
        <v>0</v>
      </c>
      <c r="T184" s="302">
        <f t="shared" si="43"/>
        <v>300233.17756304337</v>
      </c>
      <c r="U184" s="312">
        <f t="shared" si="38"/>
        <v>300233.17756304337</v>
      </c>
    </row>
    <row r="185" spans="1:21" x14ac:dyDescent="0.25">
      <c r="A185" s="159">
        <f>Données!A185</f>
        <v>5712</v>
      </c>
      <c r="B185" s="160" t="str">
        <f>Données!B185</f>
        <v>Coppet</v>
      </c>
      <c r="C185" s="307">
        <f>Données!C185</f>
        <v>3233</v>
      </c>
      <c r="D185" s="303">
        <f t="shared" si="34"/>
        <v>1000</v>
      </c>
      <c r="E185" s="303">
        <f t="shared" si="39"/>
        <v>2000</v>
      </c>
      <c r="F185" s="308">
        <f t="shared" si="48"/>
        <v>233</v>
      </c>
      <c r="G185" s="302">
        <f t="shared" si="48"/>
        <v>0</v>
      </c>
      <c r="H185" s="303">
        <f t="shared" si="48"/>
        <v>0</v>
      </c>
      <c r="I185" s="308">
        <f t="shared" si="48"/>
        <v>0</v>
      </c>
      <c r="J185" s="309">
        <f t="shared" si="35"/>
        <v>0</v>
      </c>
      <c r="K185" s="302"/>
      <c r="L185" s="303">
        <f t="shared" si="36"/>
        <v>-1034949.3076162216</v>
      </c>
      <c r="M185" s="308">
        <f t="shared" si="40"/>
        <v>1932035.9092985569</v>
      </c>
      <c r="N185" s="310">
        <f t="shared" si="37"/>
        <v>897086.60168233525</v>
      </c>
      <c r="O185" s="302"/>
      <c r="P185" s="311" t="str">
        <f>Données!AC185</f>
        <v/>
      </c>
      <c r="Q185" s="307" t="str">
        <f>Données!AD185</f>
        <v/>
      </c>
      <c r="R185" s="302">
        <f t="shared" si="41"/>
        <v>0</v>
      </c>
      <c r="S185" s="308">
        <f t="shared" si="42"/>
        <v>0</v>
      </c>
      <c r="T185" s="302">
        <f t="shared" si="43"/>
        <v>327039.7112740294</v>
      </c>
      <c r="U185" s="312">
        <f t="shared" si="38"/>
        <v>327039.7112740294</v>
      </c>
    </row>
    <row r="186" spans="1:21" x14ac:dyDescent="0.25">
      <c r="A186" s="159">
        <f>Données!A186</f>
        <v>5713</v>
      </c>
      <c r="B186" s="160" t="str">
        <f>Données!B186</f>
        <v>Crans</v>
      </c>
      <c r="C186" s="307">
        <f>Données!C186</f>
        <v>2483</v>
      </c>
      <c r="D186" s="303">
        <f t="shared" si="34"/>
        <v>1000</v>
      </c>
      <c r="E186" s="303">
        <f t="shared" si="39"/>
        <v>1483</v>
      </c>
      <c r="F186" s="308">
        <f t="shared" si="48"/>
        <v>0</v>
      </c>
      <c r="G186" s="302">
        <f t="shared" si="48"/>
        <v>0</v>
      </c>
      <c r="H186" s="303">
        <f t="shared" si="48"/>
        <v>0</v>
      </c>
      <c r="I186" s="308">
        <f t="shared" si="48"/>
        <v>0</v>
      </c>
      <c r="J186" s="309">
        <f t="shared" si="35"/>
        <v>0</v>
      </c>
      <c r="K186" s="302"/>
      <c r="L186" s="303">
        <f t="shared" si="36"/>
        <v>-686731.84965380805</v>
      </c>
      <c r="M186" s="308">
        <f t="shared" si="40"/>
        <v>1483837.0438565779</v>
      </c>
      <c r="N186" s="310">
        <f t="shared" si="37"/>
        <v>797105.1942027699</v>
      </c>
      <c r="O186" s="302"/>
      <c r="P186" s="311" t="str">
        <f>Données!AC186</f>
        <v/>
      </c>
      <c r="Q186" s="307" t="str">
        <f>Données!AD186</f>
        <v/>
      </c>
      <c r="R186" s="302">
        <f t="shared" si="41"/>
        <v>0</v>
      </c>
      <c r="S186" s="308">
        <f t="shared" si="42"/>
        <v>0</v>
      </c>
      <c r="T186" s="302">
        <f t="shared" si="43"/>
        <v>251172.16303538971</v>
      </c>
      <c r="U186" s="312">
        <f t="shared" si="38"/>
        <v>251172.16303538971</v>
      </c>
    </row>
    <row r="187" spans="1:21" x14ac:dyDescent="0.25">
      <c r="A187" s="159">
        <f>Données!A187</f>
        <v>5714</v>
      </c>
      <c r="B187" s="160" t="str">
        <f>Données!B187</f>
        <v>Crassier</v>
      </c>
      <c r="C187" s="307">
        <f>Données!C187</f>
        <v>1272</v>
      </c>
      <c r="D187" s="303">
        <f t="shared" si="34"/>
        <v>1000</v>
      </c>
      <c r="E187" s="303">
        <f t="shared" si="39"/>
        <v>272</v>
      </c>
      <c r="F187" s="308">
        <f t="shared" si="48"/>
        <v>0</v>
      </c>
      <c r="G187" s="302">
        <f t="shared" si="48"/>
        <v>0</v>
      </c>
      <c r="H187" s="303">
        <f t="shared" si="48"/>
        <v>0</v>
      </c>
      <c r="I187" s="308">
        <f t="shared" si="48"/>
        <v>0</v>
      </c>
      <c r="J187" s="309">
        <f t="shared" si="35"/>
        <v>0</v>
      </c>
      <c r="K187" s="302"/>
      <c r="L187" s="303">
        <f t="shared" si="36"/>
        <v>-234792.87833827891</v>
      </c>
      <c r="M187" s="308">
        <f t="shared" si="40"/>
        <v>760145.27578959614</v>
      </c>
      <c r="N187" s="310">
        <f t="shared" si="37"/>
        <v>525352.39745131717</v>
      </c>
      <c r="O187" s="302"/>
      <c r="P187" s="311" t="str">
        <f>Données!AC187</f>
        <v/>
      </c>
      <c r="Q187" s="307" t="str">
        <f>Données!AD187</f>
        <v/>
      </c>
      <c r="R187" s="302">
        <f t="shared" si="41"/>
        <v>0</v>
      </c>
      <c r="S187" s="308">
        <f t="shared" si="42"/>
        <v>0</v>
      </c>
      <c r="T187" s="302">
        <f t="shared" si="43"/>
        <v>128671.36181273287</v>
      </c>
      <c r="U187" s="312">
        <f t="shared" si="38"/>
        <v>128671.36181273287</v>
      </c>
    </row>
    <row r="188" spans="1:21" x14ac:dyDescent="0.25">
      <c r="A188" s="159">
        <f>Données!A188</f>
        <v>5715</v>
      </c>
      <c r="B188" s="160" t="str">
        <f>Données!B188</f>
        <v>Duillier</v>
      </c>
      <c r="C188" s="307">
        <f>Données!C188</f>
        <v>1120</v>
      </c>
      <c r="D188" s="303">
        <f t="shared" si="34"/>
        <v>1000</v>
      </c>
      <c r="E188" s="303">
        <f t="shared" si="39"/>
        <v>120</v>
      </c>
      <c r="F188" s="308">
        <f t="shared" si="48"/>
        <v>0</v>
      </c>
      <c r="G188" s="302">
        <f t="shared" si="48"/>
        <v>0</v>
      </c>
      <c r="H188" s="303">
        <f t="shared" si="48"/>
        <v>0</v>
      </c>
      <c r="I188" s="308">
        <f t="shared" si="48"/>
        <v>0</v>
      </c>
      <c r="J188" s="309">
        <f t="shared" si="35"/>
        <v>0</v>
      </c>
      <c r="K188" s="302"/>
      <c r="L188" s="303">
        <f t="shared" si="36"/>
        <v>-178067.26013847676</v>
      </c>
      <c r="M188" s="308">
        <f t="shared" si="40"/>
        <v>669310.30572668847</v>
      </c>
      <c r="N188" s="310">
        <f t="shared" si="37"/>
        <v>491243.04558821174</v>
      </c>
      <c r="O188" s="302"/>
      <c r="P188" s="311" t="str">
        <f>Données!AC188</f>
        <v/>
      </c>
      <c r="Q188" s="307" t="str">
        <f>Données!AD188</f>
        <v/>
      </c>
      <c r="R188" s="302">
        <f t="shared" si="41"/>
        <v>0</v>
      </c>
      <c r="S188" s="308">
        <f t="shared" si="42"/>
        <v>0</v>
      </c>
      <c r="T188" s="302">
        <f t="shared" si="43"/>
        <v>113295.53870303523</v>
      </c>
      <c r="U188" s="312">
        <f t="shared" si="38"/>
        <v>113295.53870303523</v>
      </c>
    </row>
    <row r="189" spans="1:21" x14ac:dyDescent="0.25">
      <c r="A189" s="159">
        <f>Données!A189</f>
        <v>5716</v>
      </c>
      <c r="B189" s="160" t="str">
        <f>Données!B189</f>
        <v>Eysins</v>
      </c>
      <c r="C189" s="307">
        <f>Données!C189</f>
        <v>1811</v>
      </c>
      <c r="D189" s="303">
        <f t="shared" si="34"/>
        <v>1000</v>
      </c>
      <c r="E189" s="303">
        <f t="shared" si="39"/>
        <v>811</v>
      </c>
      <c r="F189" s="308">
        <f t="shared" ref="F189:I198" si="49">IF($C189&lt;F$4,0,IF($C189&gt;F$5,F$5-F$4,$C189-F$4))</f>
        <v>0</v>
      </c>
      <c r="G189" s="302">
        <f t="shared" si="49"/>
        <v>0</v>
      </c>
      <c r="H189" s="303">
        <f t="shared" si="49"/>
        <v>0</v>
      </c>
      <c r="I189" s="308">
        <f t="shared" si="49"/>
        <v>0</v>
      </c>
      <c r="J189" s="309">
        <f t="shared" si="35"/>
        <v>0</v>
      </c>
      <c r="K189" s="302"/>
      <c r="L189" s="303">
        <f t="shared" si="36"/>
        <v>-435944.90603363002</v>
      </c>
      <c r="M189" s="308">
        <f t="shared" si="40"/>
        <v>1082250.8604205649</v>
      </c>
      <c r="N189" s="310">
        <f t="shared" si="37"/>
        <v>646305.95438693487</v>
      </c>
      <c r="O189" s="302"/>
      <c r="P189" s="311" t="str">
        <f>Données!AC189</f>
        <v/>
      </c>
      <c r="Q189" s="307" t="str">
        <f>Données!AD189</f>
        <v/>
      </c>
      <c r="R189" s="302">
        <f t="shared" si="41"/>
        <v>0</v>
      </c>
      <c r="S189" s="308">
        <f t="shared" si="42"/>
        <v>0</v>
      </c>
      <c r="T189" s="302">
        <f t="shared" si="43"/>
        <v>183194.83981356857</v>
      </c>
      <c r="U189" s="312">
        <f t="shared" si="38"/>
        <v>183194.83981356857</v>
      </c>
    </row>
    <row r="190" spans="1:21" x14ac:dyDescent="0.25">
      <c r="A190" s="159">
        <f>Données!A190</f>
        <v>5717</v>
      </c>
      <c r="B190" s="160" t="str">
        <f>Données!B190</f>
        <v>Founex</v>
      </c>
      <c r="C190" s="307">
        <f>Données!C190</f>
        <v>3737</v>
      </c>
      <c r="D190" s="303">
        <f t="shared" si="34"/>
        <v>1000</v>
      </c>
      <c r="E190" s="303">
        <f t="shared" si="39"/>
        <v>2000</v>
      </c>
      <c r="F190" s="308">
        <f t="shared" si="49"/>
        <v>737</v>
      </c>
      <c r="G190" s="302">
        <f t="shared" si="49"/>
        <v>0</v>
      </c>
      <c r="H190" s="303">
        <f t="shared" si="49"/>
        <v>0</v>
      </c>
      <c r="I190" s="308">
        <f t="shared" si="49"/>
        <v>0</v>
      </c>
      <c r="J190" s="309">
        <f t="shared" si="35"/>
        <v>0</v>
      </c>
      <c r="K190" s="302"/>
      <c r="L190" s="303">
        <f t="shared" si="36"/>
        <v>-1370824.6785361029</v>
      </c>
      <c r="M190" s="308">
        <f t="shared" si="40"/>
        <v>2233225.5468755667</v>
      </c>
      <c r="N190" s="310">
        <f t="shared" si="37"/>
        <v>862400.86833946384</v>
      </c>
      <c r="O190" s="302"/>
      <c r="P190" s="311" t="str">
        <f>Données!AC190</f>
        <v/>
      </c>
      <c r="Q190" s="307" t="str">
        <f>Données!AD190</f>
        <v/>
      </c>
      <c r="R190" s="302">
        <f t="shared" si="41"/>
        <v>0</v>
      </c>
      <c r="S190" s="308">
        <f t="shared" si="42"/>
        <v>0</v>
      </c>
      <c r="T190" s="302">
        <f t="shared" si="43"/>
        <v>378022.70369039522</v>
      </c>
      <c r="U190" s="312">
        <f t="shared" si="38"/>
        <v>378022.70369039522</v>
      </c>
    </row>
    <row r="191" spans="1:21" x14ac:dyDescent="0.25">
      <c r="A191" s="159">
        <f>Données!A191</f>
        <v>5718</v>
      </c>
      <c r="B191" s="160" t="str">
        <f>Données!B191</f>
        <v>Genolier</v>
      </c>
      <c r="C191" s="307">
        <f>Données!C191</f>
        <v>2071</v>
      </c>
      <c r="D191" s="303">
        <f t="shared" si="34"/>
        <v>1000</v>
      </c>
      <c r="E191" s="303">
        <f t="shared" si="39"/>
        <v>1071</v>
      </c>
      <c r="F191" s="308">
        <f t="shared" si="49"/>
        <v>0</v>
      </c>
      <c r="G191" s="302">
        <f t="shared" si="49"/>
        <v>0</v>
      </c>
      <c r="H191" s="303">
        <f t="shared" si="49"/>
        <v>0</v>
      </c>
      <c r="I191" s="308">
        <f t="shared" si="49"/>
        <v>0</v>
      </c>
      <c r="J191" s="309">
        <f t="shared" si="35"/>
        <v>0</v>
      </c>
      <c r="K191" s="302"/>
      <c r="L191" s="303">
        <f t="shared" si="36"/>
        <v>-532975.56874381797</v>
      </c>
      <c r="M191" s="308">
        <f t="shared" si="40"/>
        <v>1237626.4671071176</v>
      </c>
      <c r="N191" s="310">
        <f t="shared" si="37"/>
        <v>704650.89836329967</v>
      </c>
      <c r="O191" s="302"/>
      <c r="P191" s="311" t="str">
        <f>Données!AC191</f>
        <v/>
      </c>
      <c r="Q191" s="307" t="str">
        <f>Données!AD191</f>
        <v/>
      </c>
      <c r="R191" s="302">
        <f t="shared" si="41"/>
        <v>0</v>
      </c>
      <c r="S191" s="308">
        <f t="shared" si="42"/>
        <v>0</v>
      </c>
      <c r="T191" s="302">
        <f t="shared" si="43"/>
        <v>209495.58986963032</v>
      </c>
      <c r="U191" s="312">
        <f t="shared" si="38"/>
        <v>209495.58986963032</v>
      </c>
    </row>
    <row r="192" spans="1:21" x14ac:dyDescent="0.25">
      <c r="A192" s="159">
        <f>Données!A192</f>
        <v>5719</v>
      </c>
      <c r="B192" s="160" t="str">
        <f>Données!B192</f>
        <v>Gingins</v>
      </c>
      <c r="C192" s="307">
        <f>Données!C192</f>
        <v>1241</v>
      </c>
      <c r="D192" s="303">
        <f t="shared" si="34"/>
        <v>1000</v>
      </c>
      <c r="E192" s="303">
        <f t="shared" si="39"/>
        <v>241</v>
      </c>
      <c r="F192" s="308">
        <f t="shared" si="49"/>
        <v>0</v>
      </c>
      <c r="G192" s="302">
        <f t="shared" si="49"/>
        <v>0</v>
      </c>
      <c r="H192" s="303">
        <f t="shared" si="49"/>
        <v>0</v>
      </c>
      <c r="I192" s="308">
        <f t="shared" si="49"/>
        <v>0</v>
      </c>
      <c r="J192" s="309">
        <f t="shared" si="35"/>
        <v>0</v>
      </c>
      <c r="K192" s="302"/>
      <c r="L192" s="303">
        <f t="shared" si="36"/>
        <v>-223223.83778437192</v>
      </c>
      <c r="M192" s="308">
        <f t="shared" si="40"/>
        <v>741619.72268466104</v>
      </c>
      <c r="N192" s="310">
        <f t="shared" si="37"/>
        <v>518395.88490028912</v>
      </c>
      <c r="O192" s="302"/>
      <c r="P192" s="311" t="str">
        <f>Données!AC192</f>
        <v/>
      </c>
      <c r="Q192" s="307" t="str">
        <f>Données!AD192</f>
        <v/>
      </c>
      <c r="R192" s="302">
        <f t="shared" si="41"/>
        <v>0</v>
      </c>
      <c r="S192" s="308">
        <f t="shared" si="42"/>
        <v>0</v>
      </c>
      <c r="T192" s="302">
        <f t="shared" si="43"/>
        <v>125535.50315220244</v>
      </c>
      <c r="U192" s="312">
        <f t="shared" si="38"/>
        <v>125535.50315220244</v>
      </c>
    </row>
    <row r="193" spans="1:21" x14ac:dyDescent="0.25">
      <c r="A193" s="159">
        <f>Données!A193</f>
        <v>5720</v>
      </c>
      <c r="B193" s="160" t="str">
        <f>Données!B193</f>
        <v>Givrins</v>
      </c>
      <c r="C193" s="307">
        <f>Données!C193</f>
        <v>1096</v>
      </c>
      <c r="D193" s="303">
        <f t="shared" si="34"/>
        <v>1000</v>
      </c>
      <c r="E193" s="303">
        <f t="shared" si="39"/>
        <v>96</v>
      </c>
      <c r="F193" s="308">
        <f t="shared" si="49"/>
        <v>0</v>
      </c>
      <c r="G193" s="302">
        <f t="shared" si="49"/>
        <v>0</v>
      </c>
      <c r="H193" s="303">
        <f t="shared" si="49"/>
        <v>0</v>
      </c>
      <c r="I193" s="308">
        <f t="shared" si="49"/>
        <v>0</v>
      </c>
      <c r="J193" s="309">
        <f t="shared" si="35"/>
        <v>0</v>
      </c>
      <c r="K193" s="302"/>
      <c r="L193" s="303">
        <f t="shared" si="36"/>
        <v>-169110.58358061325</v>
      </c>
      <c r="M193" s="308">
        <f t="shared" si="40"/>
        <v>654967.94203254511</v>
      </c>
      <c r="N193" s="310">
        <f t="shared" si="37"/>
        <v>485857.35845193185</v>
      </c>
      <c r="O193" s="302"/>
      <c r="P193" s="311" t="str">
        <f>Données!AC193</f>
        <v/>
      </c>
      <c r="Q193" s="307" t="str">
        <f>Données!AD193</f>
        <v/>
      </c>
      <c r="R193" s="302">
        <f t="shared" si="41"/>
        <v>0</v>
      </c>
      <c r="S193" s="308">
        <f t="shared" si="42"/>
        <v>0</v>
      </c>
      <c r="T193" s="302">
        <f t="shared" si="43"/>
        <v>110867.77715939876</v>
      </c>
      <c r="U193" s="312">
        <f t="shared" si="38"/>
        <v>110867.77715939876</v>
      </c>
    </row>
    <row r="194" spans="1:21" x14ac:dyDescent="0.25">
      <c r="A194" s="159">
        <f>Données!A194</f>
        <v>5721</v>
      </c>
      <c r="B194" s="160" t="str">
        <f>Données!B194</f>
        <v>Gland</v>
      </c>
      <c r="C194" s="307">
        <f>Données!C194</f>
        <v>13978</v>
      </c>
      <c r="D194" s="303">
        <f t="shared" si="34"/>
        <v>1000</v>
      </c>
      <c r="E194" s="303">
        <f t="shared" si="39"/>
        <v>2000</v>
      </c>
      <c r="F194" s="308">
        <f t="shared" si="49"/>
        <v>9000</v>
      </c>
      <c r="G194" s="302">
        <f t="shared" si="49"/>
        <v>1978</v>
      </c>
      <c r="H194" s="303">
        <f t="shared" si="49"/>
        <v>0</v>
      </c>
      <c r="I194" s="308">
        <f t="shared" si="49"/>
        <v>0</v>
      </c>
      <c r="J194" s="309">
        <f t="shared" si="35"/>
        <v>0</v>
      </c>
      <c r="K194" s="302"/>
      <c r="L194" s="303">
        <f t="shared" si="36"/>
        <v>-8986532.1463897116</v>
      </c>
      <c r="M194" s="308">
        <f t="shared" si="40"/>
        <v>8353231.6548639741</v>
      </c>
      <c r="N194" s="310">
        <f t="shared" si="37"/>
        <v>-633300.49152573757</v>
      </c>
      <c r="O194" s="302"/>
      <c r="P194" s="311">
        <f>Données!AC194</f>
        <v>496450.85</v>
      </c>
      <c r="Q194" s="307">
        <f>Données!AD194</f>
        <v>19132</v>
      </c>
      <c r="R194" s="302">
        <f t="shared" si="41"/>
        <v>515582.85</v>
      </c>
      <c r="S194" s="308">
        <f t="shared" si="42"/>
        <v>-309349.70999999996</v>
      </c>
      <c r="T194" s="302">
        <f t="shared" si="43"/>
        <v>1413968.7857062735</v>
      </c>
      <c r="U194" s="312">
        <f t="shared" si="38"/>
        <v>1104619.0757062736</v>
      </c>
    </row>
    <row r="195" spans="1:21" x14ac:dyDescent="0.25">
      <c r="A195" s="159">
        <f>Données!A195</f>
        <v>5722</v>
      </c>
      <c r="B195" s="160" t="str">
        <f>Données!B195</f>
        <v>Grens</v>
      </c>
      <c r="C195" s="307">
        <f>Données!C195</f>
        <v>413</v>
      </c>
      <c r="D195" s="303">
        <f t="shared" si="34"/>
        <v>413</v>
      </c>
      <c r="E195" s="303">
        <f t="shared" si="39"/>
        <v>0</v>
      </c>
      <c r="F195" s="308">
        <f t="shared" si="49"/>
        <v>0</v>
      </c>
      <c r="G195" s="302">
        <f t="shared" si="49"/>
        <v>0</v>
      </c>
      <c r="H195" s="303">
        <f t="shared" si="49"/>
        <v>0</v>
      </c>
      <c r="I195" s="308">
        <f t="shared" si="49"/>
        <v>0</v>
      </c>
      <c r="J195" s="309">
        <f t="shared" si="35"/>
        <v>0</v>
      </c>
      <c r="K195" s="302"/>
      <c r="L195" s="303">
        <f t="shared" si="36"/>
        <v>-55046.241345202769</v>
      </c>
      <c r="M195" s="308">
        <f t="shared" si="40"/>
        <v>246808.17523671634</v>
      </c>
      <c r="N195" s="310">
        <f t="shared" si="37"/>
        <v>191761.93389151356</v>
      </c>
      <c r="O195" s="302"/>
      <c r="P195" s="311" t="str">
        <f>Données!AC195</f>
        <v/>
      </c>
      <c r="Q195" s="307" t="str">
        <f>Données!AD195</f>
        <v/>
      </c>
      <c r="R195" s="302">
        <f t="shared" si="41"/>
        <v>0</v>
      </c>
      <c r="S195" s="308">
        <f t="shared" si="42"/>
        <v>0</v>
      </c>
      <c r="T195" s="302">
        <f t="shared" si="43"/>
        <v>41777.72989674424</v>
      </c>
      <c r="U195" s="312">
        <f t="shared" si="38"/>
        <v>41777.72989674424</v>
      </c>
    </row>
    <row r="196" spans="1:21" x14ac:dyDescent="0.25">
      <c r="A196" s="159">
        <f>Données!A196</f>
        <v>5723</v>
      </c>
      <c r="B196" s="160" t="str">
        <f>Données!B196</f>
        <v>Mies</v>
      </c>
      <c r="C196" s="307">
        <f>Données!C196</f>
        <v>2194</v>
      </c>
      <c r="D196" s="303">
        <f t="shared" si="34"/>
        <v>1000</v>
      </c>
      <c r="E196" s="303">
        <f t="shared" si="39"/>
        <v>1194</v>
      </c>
      <c r="F196" s="308">
        <f t="shared" si="49"/>
        <v>0</v>
      </c>
      <c r="G196" s="302">
        <f t="shared" si="49"/>
        <v>0</v>
      </c>
      <c r="H196" s="303">
        <f t="shared" si="49"/>
        <v>0</v>
      </c>
      <c r="I196" s="308">
        <f t="shared" si="49"/>
        <v>0</v>
      </c>
      <c r="J196" s="309">
        <f t="shared" si="35"/>
        <v>0</v>
      </c>
      <c r="K196" s="302"/>
      <c r="L196" s="303">
        <f t="shared" si="36"/>
        <v>-578878.5361028685</v>
      </c>
      <c r="M196" s="308">
        <f t="shared" si="40"/>
        <v>1311131.0810396022</v>
      </c>
      <c r="N196" s="310">
        <f t="shared" si="37"/>
        <v>732252.54493673367</v>
      </c>
      <c r="O196" s="302"/>
      <c r="P196" s="311" t="str">
        <f>Données!AC196</f>
        <v/>
      </c>
      <c r="Q196" s="307" t="str">
        <f>Données!AD196</f>
        <v/>
      </c>
      <c r="R196" s="302">
        <f t="shared" si="41"/>
        <v>0</v>
      </c>
      <c r="S196" s="308">
        <f t="shared" si="42"/>
        <v>0</v>
      </c>
      <c r="T196" s="302">
        <f t="shared" si="43"/>
        <v>221937.86778076724</v>
      </c>
      <c r="U196" s="312">
        <f t="shared" si="38"/>
        <v>221937.86778076724</v>
      </c>
    </row>
    <row r="197" spans="1:21" x14ac:dyDescent="0.25">
      <c r="A197" s="159">
        <f>Données!A197</f>
        <v>5724</v>
      </c>
      <c r="B197" s="160" t="str">
        <f>Données!B197</f>
        <v>Nyon</v>
      </c>
      <c r="C197" s="307">
        <f>Données!C197</f>
        <v>23732</v>
      </c>
      <c r="D197" s="303">
        <f t="shared" si="34"/>
        <v>1000</v>
      </c>
      <c r="E197" s="303">
        <f t="shared" si="39"/>
        <v>2000</v>
      </c>
      <c r="F197" s="308">
        <f t="shared" si="49"/>
        <v>9000</v>
      </c>
      <c r="G197" s="302">
        <f t="shared" si="49"/>
        <v>3000</v>
      </c>
      <c r="H197" s="303">
        <f t="shared" si="49"/>
        <v>8732</v>
      </c>
      <c r="I197" s="308">
        <f t="shared" si="49"/>
        <v>0</v>
      </c>
      <c r="J197" s="309">
        <f t="shared" si="35"/>
        <v>0</v>
      </c>
      <c r="K197" s="302"/>
      <c r="L197" s="303">
        <f t="shared" si="36"/>
        <v>-19852473.590504453</v>
      </c>
      <c r="M197" s="308">
        <f t="shared" si="40"/>
        <v>14182207.299558723</v>
      </c>
      <c r="N197" s="310">
        <f t="shared" si="37"/>
        <v>-5670266.2909457292</v>
      </c>
      <c r="O197" s="302"/>
      <c r="P197" s="311">
        <f>Données!AC197</f>
        <v>3557554</v>
      </c>
      <c r="Q197" s="307">
        <f>Données!AD197</f>
        <v>0</v>
      </c>
      <c r="R197" s="302">
        <f t="shared" si="41"/>
        <v>3557554</v>
      </c>
      <c r="S197" s="308">
        <f t="shared" si="42"/>
        <v>-2134532.4</v>
      </c>
      <c r="T197" s="302">
        <f t="shared" si="43"/>
        <v>2400651.5397325289</v>
      </c>
      <c r="U197" s="312">
        <f t="shared" si="38"/>
        <v>266119.13973252894</v>
      </c>
    </row>
    <row r="198" spans="1:21" x14ac:dyDescent="0.25">
      <c r="A198" s="159">
        <f>Données!A198</f>
        <v>5725</v>
      </c>
      <c r="B198" s="160" t="str">
        <f>Données!B198</f>
        <v>Prangins</v>
      </c>
      <c r="C198" s="307">
        <f>Données!C198</f>
        <v>4243</v>
      </c>
      <c r="D198" s="303">
        <f t="shared" si="34"/>
        <v>1000</v>
      </c>
      <c r="E198" s="303">
        <f t="shared" si="39"/>
        <v>2000</v>
      </c>
      <c r="F198" s="308">
        <f t="shared" si="49"/>
        <v>1243</v>
      </c>
      <c r="G198" s="302">
        <f t="shared" si="49"/>
        <v>0</v>
      </c>
      <c r="H198" s="303">
        <f t="shared" si="49"/>
        <v>0</v>
      </c>
      <c r="I198" s="308">
        <f t="shared" si="49"/>
        <v>0</v>
      </c>
      <c r="J198" s="309">
        <f t="shared" si="35"/>
        <v>0</v>
      </c>
      <c r="K198" s="302"/>
      <c r="L198" s="303">
        <f t="shared" si="36"/>
        <v>-1708032.8882294758</v>
      </c>
      <c r="M198" s="308">
        <f t="shared" si="40"/>
        <v>2535610.3814270883</v>
      </c>
      <c r="N198" s="310">
        <f t="shared" si="37"/>
        <v>827577.49319761246</v>
      </c>
      <c r="O198" s="302"/>
      <c r="P198" s="311">
        <f>Données!AC198</f>
        <v>916487</v>
      </c>
      <c r="Q198" s="307">
        <f>Données!AD198</f>
        <v>0</v>
      </c>
      <c r="R198" s="302">
        <f t="shared" si="41"/>
        <v>916487</v>
      </c>
      <c r="S198" s="308">
        <f t="shared" si="42"/>
        <v>-549892.19999999995</v>
      </c>
      <c r="T198" s="302">
        <f t="shared" si="43"/>
        <v>429208.00956873078</v>
      </c>
      <c r="U198" s="312">
        <f t="shared" si="38"/>
        <v>-120684.19043126918</v>
      </c>
    </row>
    <row r="199" spans="1:21" x14ac:dyDescent="0.25">
      <c r="A199" s="159">
        <f>Données!A199</f>
        <v>5726</v>
      </c>
      <c r="B199" s="160" t="str">
        <f>Données!B199</f>
        <v>La Rippe</v>
      </c>
      <c r="C199" s="307">
        <f>Données!C199</f>
        <v>1218</v>
      </c>
      <c r="D199" s="303">
        <f t="shared" si="34"/>
        <v>1000</v>
      </c>
      <c r="E199" s="303">
        <f t="shared" si="39"/>
        <v>218</v>
      </c>
      <c r="F199" s="308">
        <f t="shared" ref="F199:I208" si="50">IF($C199&lt;F$4,0,IF($C199&gt;F$5,F$5-F$4,$C199-F$4))</f>
        <v>0</v>
      </c>
      <c r="G199" s="302">
        <f t="shared" si="50"/>
        <v>0</v>
      </c>
      <c r="H199" s="303">
        <f t="shared" si="50"/>
        <v>0</v>
      </c>
      <c r="I199" s="308">
        <f t="shared" si="50"/>
        <v>0</v>
      </c>
      <c r="J199" s="309">
        <f t="shared" si="35"/>
        <v>0</v>
      </c>
      <c r="K199" s="302"/>
      <c r="L199" s="303">
        <f t="shared" si="36"/>
        <v>-214640.35608308605</v>
      </c>
      <c r="M199" s="308">
        <f t="shared" si="40"/>
        <v>727874.95747777366</v>
      </c>
      <c r="N199" s="310">
        <f t="shared" si="37"/>
        <v>513234.6013946876</v>
      </c>
      <c r="O199" s="302"/>
      <c r="P199" s="311" t="str">
        <f>Données!AC199</f>
        <v/>
      </c>
      <c r="Q199" s="307" t="str">
        <f>Données!AD199</f>
        <v/>
      </c>
      <c r="R199" s="302">
        <f t="shared" si="41"/>
        <v>0</v>
      </c>
      <c r="S199" s="308">
        <f t="shared" si="42"/>
        <v>0</v>
      </c>
      <c r="T199" s="302">
        <f t="shared" si="43"/>
        <v>123208.89833955081</v>
      </c>
      <c r="U199" s="312">
        <f t="shared" si="38"/>
        <v>123208.89833955081</v>
      </c>
    </row>
    <row r="200" spans="1:21" x14ac:dyDescent="0.25">
      <c r="A200" s="159">
        <f>Données!A200</f>
        <v>5727</v>
      </c>
      <c r="B200" s="160" t="str">
        <f>Données!B200</f>
        <v>Saint-Cergue</v>
      </c>
      <c r="C200" s="307">
        <f>Données!C200</f>
        <v>3057</v>
      </c>
      <c r="D200" s="303">
        <f t="shared" ref="D200:D263" si="51">IF(C200&gt;$D$5,$D$5-$D$4,C200)</f>
        <v>1000</v>
      </c>
      <c r="E200" s="303">
        <f t="shared" si="39"/>
        <v>2000</v>
      </c>
      <c r="F200" s="308">
        <f t="shared" si="50"/>
        <v>57</v>
      </c>
      <c r="G200" s="302">
        <f t="shared" si="50"/>
        <v>0</v>
      </c>
      <c r="H200" s="303">
        <f t="shared" si="50"/>
        <v>0</v>
      </c>
      <c r="I200" s="308">
        <f t="shared" si="50"/>
        <v>0</v>
      </c>
      <c r="J200" s="309">
        <f t="shared" ref="J200:J263" si="52">IF($C200&lt;J$4,0,$C200-J$4)</f>
        <v>0</v>
      </c>
      <c r="K200" s="302"/>
      <c r="L200" s="303">
        <f t="shared" ref="L200:L263" si="53">-SUMPRODUCT($D$6:$J$6,D200:J200)</f>
        <v>-917659.49554896145</v>
      </c>
      <c r="M200" s="308">
        <f t="shared" si="40"/>
        <v>1826858.5755415058</v>
      </c>
      <c r="N200" s="310">
        <f t="shared" ref="N200:N263" si="54">SUM(L200:M200)</f>
        <v>909199.07999254437</v>
      </c>
      <c r="O200" s="302"/>
      <c r="P200" s="311" t="str">
        <f>Données!AC200</f>
        <v/>
      </c>
      <c r="Q200" s="307" t="str">
        <f>Données!AD200</f>
        <v/>
      </c>
      <c r="R200" s="302">
        <f t="shared" si="41"/>
        <v>0</v>
      </c>
      <c r="S200" s="308">
        <f t="shared" si="42"/>
        <v>0</v>
      </c>
      <c r="T200" s="302">
        <f t="shared" si="43"/>
        <v>309236.12662069529</v>
      </c>
      <c r="U200" s="312">
        <f t="shared" ref="U200:U263" si="55">S200+T200</f>
        <v>309236.12662069529</v>
      </c>
    </row>
    <row r="201" spans="1:21" x14ac:dyDescent="0.25">
      <c r="A201" s="159">
        <f>Données!A201</f>
        <v>5728</v>
      </c>
      <c r="B201" s="160" t="str">
        <f>Données!B201</f>
        <v>Signy-Avenex</v>
      </c>
      <c r="C201" s="307">
        <f>Données!C201</f>
        <v>586</v>
      </c>
      <c r="D201" s="303">
        <f t="shared" si="51"/>
        <v>586</v>
      </c>
      <c r="E201" s="303">
        <f t="shared" ref="E201:E264" si="56">IF(C201&lt;$E$4,0,IF(C201&gt;$E$5,$E$5-$E$4,C201-$E$4))</f>
        <v>0</v>
      </c>
      <c r="F201" s="308">
        <f t="shared" si="50"/>
        <v>0</v>
      </c>
      <c r="G201" s="302">
        <f t="shared" si="50"/>
        <v>0</v>
      </c>
      <c r="H201" s="303">
        <f t="shared" si="50"/>
        <v>0</v>
      </c>
      <c r="I201" s="308">
        <f t="shared" si="50"/>
        <v>0</v>
      </c>
      <c r="J201" s="309">
        <f t="shared" si="52"/>
        <v>0</v>
      </c>
      <c r="K201" s="302"/>
      <c r="L201" s="303">
        <f t="shared" si="53"/>
        <v>-78104.352126607322</v>
      </c>
      <c r="M201" s="308">
        <f t="shared" ref="M201:M264" si="57">(-$L$6)/($C$308)*C201</f>
        <v>350192.7135319995</v>
      </c>
      <c r="N201" s="310">
        <f t="shared" si="54"/>
        <v>272088.36140539218</v>
      </c>
      <c r="O201" s="302"/>
      <c r="P201" s="311" t="str">
        <f>Données!AC201</f>
        <v/>
      </c>
      <c r="Q201" s="307" t="str">
        <f>Données!AD201</f>
        <v/>
      </c>
      <c r="R201" s="302">
        <f t="shared" ref="R201:R264" si="58">SUM(P201:Q201)</f>
        <v>0</v>
      </c>
      <c r="S201" s="308">
        <f t="shared" ref="S201:S264" si="59">-R201*$P$6</f>
        <v>0</v>
      </c>
      <c r="T201" s="302">
        <f t="shared" ref="T201:T264" si="60">-$S$6/$C$308*C201</f>
        <v>59277.844357123788</v>
      </c>
      <c r="U201" s="312">
        <f t="shared" si="55"/>
        <v>59277.844357123788</v>
      </c>
    </row>
    <row r="202" spans="1:21" x14ac:dyDescent="0.25">
      <c r="A202" s="159">
        <f>Données!A202</f>
        <v>5729</v>
      </c>
      <c r="B202" s="160" t="str">
        <f>Données!B202</f>
        <v>Tannay</v>
      </c>
      <c r="C202" s="307">
        <f>Données!C202</f>
        <v>1732</v>
      </c>
      <c r="D202" s="303">
        <f t="shared" si="51"/>
        <v>1000</v>
      </c>
      <c r="E202" s="303">
        <f t="shared" si="56"/>
        <v>732</v>
      </c>
      <c r="F202" s="308">
        <f t="shared" si="50"/>
        <v>0</v>
      </c>
      <c r="G202" s="302">
        <f t="shared" si="50"/>
        <v>0</v>
      </c>
      <c r="H202" s="303">
        <f t="shared" si="50"/>
        <v>0</v>
      </c>
      <c r="I202" s="308">
        <f t="shared" si="50"/>
        <v>0</v>
      </c>
      <c r="J202" s="309">
        <f t="shared" si="52"/>
        <v>0</v>
      </c>
      <c r="K202" s="302"/>
      <c r="L202" s="303">
        <f t="shared" si="53"/>
        <v>-406462.51236399601</v>
      </c>
      <c r="M202" s="308">
        <f t="shared" si="57"/>
        <v>1035040.5799273432</v>
      </c>
      <c r="N202" s="310">
        <f t="shared" si="54"/>
        <v>628578.06756334717</v>
      </c>
      <c r="O202" s="302"/>
      <c r="P202" s="311" t="str">
        <f>Données!AC202</f>
        <v/>
      </c>
      <c r="Q202" s="307" t="str">
        <f>Données!AD202</f>
        <v/>
      </c>
      <c r="R202" s="302">
        <f t="shared" si="58"/>
        <v>0</v>
      </c>
      <c r="S202" s="308">
        <f t="shared" si="59"/>
        <v>0</v>
      </c>
      <c r="T202" s="302">
        <f t="shared" si="60"/>
        <v>175203.45806576521</v>
      </c>
      <c r="U202" s="312">
        <f t="shared" si="55"/>
        <v>175203.45806576521</v>
      </c>
    </row>
    <row r="203" spans="1:21" x14ac:dyDescent="0.25">
      <c r="A203" s="159">
        <f>Données!A203</f>
        <v>5730</v>
      </c>
      <c r="B203" s="160" t="str">
        <f>Données!B203</f>
        <v>Trélex</v>
      </c>
      <c r="C203" s="307">
        <f>Données!C203</f>
        <v>1427</v>
      </c>
      <c r="D203" s="303">
        <f t="shared" si="51"/>
        <v>1000</v>
      </c>
      <c r="E203" s="303">
        <f t="shared" si="56"/>
        <v>427</v>
      </c>
      <c r="F203" s="308">
        <f t="shared" si="50"/>
        <v>0</v>
      </c>
      <c r="G203" s="302">
        <f t="shared" si="50"/>
        <v>0</v>
      </c>
      <c r="H203" s="303">
        <f t="shared" si="50"/>
        <v>0</v>
      </c>
      <c r="I203" s="308">
        <f t="shared" si="50"/>
        <v>0</v>
      </c>
      <c r="J203" s="309">
        <f t="shared" si="52"/>
        <v>0</v>
      </c>
      <c r="K203" s="302"/>
      <c r="L203" s="303">
        <f t="shared" si="53"/>
        <v>-292638.08110781404</v>
      </c>
      <c r="M203" s="308">
        <f t="shared" si="57"/>
        <v>852773.04131427174</v>
      </c>
      <c r="N203" s="310">
        <f t="shared" si="54"/>
        <v>560134.96020645765</v>
      </c>
      <c r="O203" s="302"/>
      <c r="P203" s="311" t="str">
        <f>Données!AC203</f>
        <v/>
      </c>
      <c r="Q203" s="307" t="str">
        <f>Données!AD203</f>
        <v/>
      </c>
      <c r="R203" s="302">
        <f t="shared" si="58"/>
        <v>0</v>
      </c>
      <c r="S203" s="308">
        <f t="shared" si="59"/>
        <v>0</v>
      </c>
      <c r="T203" s="302">
        <f t="shared" si="60"/>
        <v>144350.65511538507</v>
      </c>
      <c r="U203" s="312">
        <f t="shared" si="55"/>
        <v>144350.65511538507</v>
      </c>
    </row>
    <row r="204" spans="1:21" x14ac:dyDescent="0.25">
      <c r="A204" s="159">
        <f>Données!A204</f>
        <v>5731</v>
      </c>
      <c r="B204" s="160" t="str">
        <f>Données!B204</f>
        <v>Le Vaud</v>
      </c>
      <c r="C204" s="307">
        <f>Données!C204</f>
        <v>1374</v>
      </c>
      <c r="D204" s="303">
        <f t="shared" si="51"/>
        <v>1000</v>
      </c>
      <c r="E204" s="303">
        <f t="shared" si="56"/>
        <v>374</v>
      </c>
      <c r="F204" s="308">
        <f t="shared" si="50"/>
        <v>0</v>
      </c>
      <c r="G204" s="302">
        <f t="shared" si="50"/>
        <v>0</v>
      </c>
      <c r="H204" s="303">
        <f t="shared" si="50"/>
        <v>0</v>
      </c>
      <c r="I204" s="308">
        <f t="shared" si="50"/>
        <v>0</v>
      </c>
      <c r="J204" s="309">
        <f t="shared" si="52"/>
        <v>0</v>
      </c>
      <c r="K204" s="302"/>
      <c r="L204" s="303">
        <f t="shared" si="53"/>
        <v>-272858.75370919879</v>
      </c>
      <c r="M204" s="308">
        <f t="shared" si="57"/>
        <v>821100.32148970524</v>
      </c>
      <c r="N204" s="310">
        <f t="shared" si="54"/>
        <v>548241.56778050645</v>
      </c>
      <c r="O204" s="302"/>
      <c r="P204" s="311" t="str">
        <f>Données!AC204</f>
        <v/>
      </c>
      <c r="Q204" s="307" t="str">
        <f>Données!AD204</f>
        <v/>
      </c>
      <c r="R204" s="302">
        <f t="shared" si="58"/>
        <v>0</v>
      </c>
      <c r="S204" s="308">
        <f t="shared" si="59"/>
        <v>0</v>
      </c>
      <c r="T204" s="302">
        <f t="shared" si="60"/>
        <v>138989.34837318785</v>
      </c>
      <c r="U204" s="312">
        <f t="shared" si="55"/>
        <v>138989.34837318785</v>
      </c>
    </row>
    <row r="205" spans="1:21" x14ac:dyDescent="0.25">
      <c r="A205" s="159">
        <f>Données!A205</f>
        <v>5732</v>
      </c>
      <c r="B205" s="160" t="str">
        <f>Données!B205</f>
        <v>Vich</v>
      </c>
      <c r="C205" s="307">
        <f>Données!C205</f>
        <v>1174</v>
      </c>
      <c r="D205" s="303">
        <f t="shared" si="51"/>
        <v>1000</v>
      </c>
      <c r="E205" s="303">
        <f t="shared" si="56"/>
        <v>174</v>
      </c>
      <c r="F205" s="308">
        <f t="shared" si="50"/>
        <v>0</v>
      </c>
      <c r="G205" s="302">
        <f t="shared" si="50"/>
        <v>0</v>
      </c>
      <c r="H205" s="303">
        <f t="shared" si="50"/>
        <v>0</v>
      </c>
      <c r="I205" s="308">
        <f t="shared" si="50"/>
        <v>0</v>
      </c>
      <c r="J205" s="309">
        <f t="shared" si="52"/>
        <v>0</v>
      </c>
      <c r="K205" s="302"/>
      <c r="L205" s="303">
        <f t="shared" si="53"/>
        <v>-198219.78239366962</v>
      </c>
      <c r="M205" s="308">
        <f t="shared" si="57"/>
        <v>701580.62403851096</v>
      </c>
      <c r="N205" s="310">
        <f t="shared" si="54"/>
        <v>503360.84164484136</v>
      </c>
      <c r="O205" s="302"/>
      <c r="P205" s="311" t="str">
        <f>Données!AC205</f>
        <v/>
      </c>
      <c r="Q205" s="307" t="str">
        <f>Données!AD205</f>
        <v/>
      </c>
      <c r="R205" s="302">
        <f t="shared" si="58"/>
        <v>0</v>
      </c>
      <c r="S205" s="308">
        <f t="shared" si="59"/>
        <v>0</v>
      </c>
      <c r="T205" s="302">
        <f t="shared" si="60"/>
        <v>118758.00217621728</v>
      </c>
      <c r="U205" s="312">
        <f t="shared" si="55"/>
        <v>118758.00217621728</v>
      </c>
    </row>
    <row r="206" spans="1:21" x14ac:dyDescent="0.25">
      <c r="A206" s="159">
        <f>Données!A206</f>
        <v>5741</v>
      </c>
      <c r="B206" s="160" t="str">
        <f>Données!B206</f>
        <v>L'Abergement</v>
      </c>
      <c r="C206" s="307">
        <f>Données!C206</f>
        <v>267</v>
      </c>
      <c r="D206" s="303">
        <f t="shared" si="51"/>
        <v>267</v>
      </c>
      <c r="E206" s="303">
        <f t="shared" si="56"/>
        <v>0</v>
      </c>
      <c r="F206" s="308">
        <f t="shared" si="50"/>
        <v>0</v>
      </c>
      <c r="G206" s="302">
        <f t="shared" si="50"/>
        <v>0</v>
      </c>
      <c r="H206" s="303">
        <f t="shared" si="50"/>
        <v>0</v>
      </c>
      <c r="I206" s="308">
        <f t="shared" si="50"/>
        <v>0</v>
      </c>
      <c r="J206" s="309">
        <f t="shared" si="52"/>
        <v>0</v>
      </c>
      <c r="K206" s="302"/>
      <c r="L206" s="303">
        <f t="shared" si="53"/>
        <v>-35586.795252225515</v>
      </c>
      <c r="M206" s="308">
        <f t="shared" si="57"/>
        <v>159558.79609734449</v>
      </c>
      <c r="N206" s="310">
        <f t="shared" si="54"/>
        <v>123972.00084511898</v>
      </c>
      <c r="O206" s="302"/>
      <c r="P206" s="311" t="str">
        <f>Données!AC206</f>
        <v/>
      </c>
      <c r="Q206" s="307" t="str">
        <f>Données!AD206</f>
        <v/>
      </c>
      <c r="R206" s="302">
        <f t="shared" si="58"/>
        <v>0</v>
      </c>
      <c r="S206" s="308">
        <f t="shared" si="59"/>
        <v>0</v>
      </c>
      <c r="T206" s="302">
        <f t="shared" si="60"/>
        <v>27008.84717295572</v>
      </c>
      <c r="U206" s="312">
        <f t="shared" si="55"/>
        <v>27008.84717295572</v>
      </c>
    </row>
    <row r="207" spans="1:21" x14ac:dyDescent="0.25">
      <c r="A207" s="159">
        <f>Données!A207</f>
        <v>5742</v>
      </c>
      <c r="B207" s="160" t="str">
        <f>Données!B207</f>
        <v>Agiez</v>
      </c>
      <c r="C207" s="307">
        <f>Données!C207</f>
        <v>382</v>
      </c>
      <c r="D207" s="303">
        <f t="shared" si="51"/>
        <v>382</v>
      </c>
      <c r="E207" s="303">
        <f t="shared" si="56"/>
        <v>0</v>
      </c>
      <c r="F207" s="308">
        <f t="shared" si="50"/>
        <v>0</v>
      </c>
      <c r="G207" s="302">
        <f t="shared" si="50"/>
        <v>0</v>
      </c>
      <c r="H207" s="303">
        <f t="shared" si="50"/>
        <v>0</v>
      </c>
      <c r="I207" s="308">
        <f t="shared" si="50"/>
        <v>0</v>
      </c>
      <c r="J207" s="309">
        <f t="shared" si="52"/>
        <v>0</v>
      </c>
      <c r="K207" s="302"/>
      <c r="L207" s="303">
        <f t="shared" si="53"/>
        <v>-50914.441147378828</v>
      </c>
      <c r="M207" s="308">
        <f t="shared" si="57"/>
        <v>228282.62213178122</v>
      </c>
      <c r="N207" s="310">
        <f t="shared" si="54"/>
        <v>177368.1809844024</v>
      </c>
      <c r="O207" s="302"/>
      <c r="P207" s="311" t="str">
        <f>Données!AC207</f>
        <v/>
      </c>
      <c r="Q207" s="307" t="str">
        <f>Données!AD207</f>
        <v/>
      </c>
      <c r="R207" s="302">
        <f t="shared" si="58"/>
        <v>0</v>
      </c>
      <c r="S207" s="308">
        <f t="shared" si="59"/>
        <v>0</v>
      </c>
      <c r="T207" s="302">
        <f t="shared" si="60"/>
        <v>38641.871236213803</v>
      </c>
      <c r="U207" s="312">
        <f t="shared" si="55"/>
        <v>38641.871236213803</v>
      </c>
    </row>
    <row r="208" spans="1:21" x14ac:dyDescent="0.25">
      <c r="A208" s="159">
        <f>Données!A208</f>
        <v>5743</v>
      </c>
      <c r="B208" s="160" t="str">
        <f>Données!B208</f>
        <v>Arnex-sur-Orbe</v>
      </c>
      <c r="C208" s="307">
        <f>Données!C208</f>
        <v>698</v>
      </c>
      <c r="D208" s="303">
        <f t="shared" si="51"/>
        <v>698</v>
      </c>
      <c r="E208" s="303">
        <f t="shared" si="56"/>
        <v>0</v>
      </c>
      <c r="F208" s="308">
        <f t="shared" si="50"/>
        <v>0</v>
      </c>
      <c r="G208" s="302">
        <f t="shared" si="50"/>
        <v>0</v>
      </c>
      <c r="H208" s="303">
        <f t="shared" si="50"/>
        <v>0</v>
      </c>
      <c r="I208" s="308">
        <f t="shared" si="50"/>
        <v>0</v>
      </c>
      <c r="J208" s="309">
        <f t="shared" si="52"/>
        <v>0</v>
      </c>
      <c r="K208" s="302"/>
      <c r="L208" s="303">
        <f t="shared" si="53"/>
        <v>-93032.146389713147</v>
      </c>
      <c r="M208" s="308">
        <f t="shared" si="57"/>
        <v>417123.74410466832</v>
      </c>
      <c r="N208" s="310">
        <f t="shared" si="54"/>
        <v>324091.59771495516</v>
      </c>
      <c r="O208" s="302"/>
      <c r="P208" s="311" t="str">
        <f>Données!AC208</f>
        <v/>
      </c>
      <c r="Q208" s="307" t="str">
        <f>Données!AD208</f>
        <v/>
      </c>
      <c r="R208" s="302">
        <f t="shared" si="58"/>
        <v>0</v>
      </c>
      <c r="S208" s="308">
        <f t="shared" si="59"/>
        <v>0</v>
      </c>
      <c r="T208" s="302">
        <f t="shared" si="60"/>
        <v>70607.398227427315</v>
      </c>
      <c r="U208" s="312">
        <f t="shared" si="55"/>
        <v>70607.398227427315</v>
      </c>
    </row>
    <row r="209" spans="1:21" x14ac:dyDescent="0.25">
      <c r="A209" s="159">
        <f>Données!A209</f>
        <v>5744</v>
      </c>
      <c r="B209" s="160" t="str">
        <f>Données!B209</f>
        <v>Ballaigues</v>
      </c>
      <c r="C209" s="307">
        <f>Données!C209</f>
        <v>1217</v>
      </c>
      <c r="D209" s="303">
        <f t="shared" si="51"/>
        <v>1000</v>
      </c>
      <c r="E209" s="303">
        <f t="shared" si="56"/>
        <v>217</v>
      </c>
      <c r="F209" s="308">
        <f t="shared" ref="F209:I218" si="61">IF($C209&lt;F$4,0,IF($C209&gt;F$5,F$5-F$4,$C209-F$4))</f>
        <v>0</v>
      </c>
      <c r="G209" s="302">
        <f t="shared" si="61"/>
        <v>0</v>
      </c>
      <c r="H209" s="303">
        <f t="shared" si="61"/>
        <v>0</v>
      </c>
      <c r="I209" s="308">
        <f t="shared" si="61"/>
        <v>0</v>
      </c>
      <c r="J209" s="309">
        <f t="shared" si="52"/>
        <v>0</v>
      </c>
      <c r="K209" s="302"/>
      <c r="L209" s="303">
        <f t="shared" si="53"/>
        <v>-214267.16122650841</v>
      </c>
      <c r="M209" s="308">
        <f t="shared" si="57"/>
        <v>727277.35899051768</v>
      </c>
      <c r="N209" s="310">
        <f t="shared" si="54"/>
        <v>513010.19776400924</v>
      </c>
      <c r="O209" s="302"/>
      <c r="P209" s="311" t="str">
        <f>Données!AC209</f>
        <v/>
      </c>
      <c r="Q209" s="307" t="str">
        <f>Données!AD209</f>
        <v/>
      </c>
      <c r="R209" s="302">
        <f t="shared" si="58"/>
        <v>0</v>
      </c>
      <c r="S209" s="308">
        <f t="shared" si="59"/>
        <v>0</v>
      </c>
      <c r="T209" s="302">
        <f t="shared" si="60"/>
        <v>123107.74160856596</v>
      </c>
      <c r="U209" s="312">
        <f t="shared" si="55"/>
        <v>123107.74160856596</v>
      </c>
    </row>
    <row r="210" spans="1:21" x14ac:dyDescent="0.25">
      <c r="A210" s="159">
        <f>Données!A210</f>
        <v>5745</v>
      </c>
      <c r="B210" s="160" t="str">
        <f>Données!B210</f>
        <v>Baulmes</v>
      </c>
      <c r="C210" s="307">
        <f>Données!C210</f>
        <v>1189</v>
      </c>
      <c r="D210" s="303">
        <f t="shared" si="51"/>
        <v>1000</v>
      </c>
      <c r="E210" s="303">
        <f t="shared" si="56"/>
        <v>189</v>
      </c>
      <c r="F210" s="308">
        <f t="shared" si="61"/>
        <v>0</v>
      </c>
      <c r="G210" s="302">
        <f t="shared" si="61"/>
        <v>0</v>
      </c>
      <c r="H210" s="303">
        <f t="shared" si="61"/>
        <v>0</v>
      </c>
      <c r="I210" s="308">
        <f t="shared" si="61"/>
        <v>0</v>
      </c>
      <c r="J210" s="309">
        <f t="shared" si="52"/>
        <v>0</v>
      </c>
      <c r="K210" s="302"/>
      <c r="L210" s="303">
        <f t="shared" si="53"/>
        <v>-203817.70524233434</v>
      </c>
      <c r="M210" s="308">
        <f t="shared" si="57"/>
        <v>710544.60134735052</v>
      </c>
      <c r="N210" s="310">
        <f t="shared" si="54"/>
        <v>506726.89610501617</v>
      </c>
      <c r="O210" s="302"/>
      <c r="P210" s="311" t="str">
        <f>Données!AC210</f>
        <v/>
      </c>
      <c r="Q210" s="307" t="str">
        <f>Données!AD210</f>
        <v/>
      </c>
      <c r="R210" s="302">
        <f t="shared" si="58"/>
        <v>0</v>
      </c>
      <c r="S210" s="308">
        <f t="shared" si="59"/>
        <v>0</v>
      </c>
      <c r="T210" s="302">
        <f t="shared" si="60"/>
        <v>120275.35314099008</v>
      </c>
      <c r="U210" s="312">
        <f t="shared" si="55"/>
        <v>120275.35314099008</v>
      </c>
    </row>
    <row r="211" spans="1:21" x14ac:dyDescent="0.25">
      <c r="A211" s="159">
        <f>Données!A211</f>
        <v>5746</v>
      </c>
      <c r="B211" s="160" t="str">
        <f>Données!B211</f>
        <v>Bavois</v>
      </c>
      <c r="C211" s="307">
        <f>Données!C211</f>
        <v>1055</v>
      </c>
      <c r="D211" s="303">
        <f t="shared" si="51"/>
        <v>1000</v>
      </c>
      <c r="E211" s="303">
        <f t="shared" si="56"/>
        <v>55</v>
      </c>
      <c r="F211" s="308">
        <f t="shared" si="61"/>
        <v>0</v>
      </c>
      <c r="G211" s="302">
        <f t="shared" si="61"/>
        <v>0</v>
      </c>
      <c r="H211" s="303">
        <f t="shared" si="61"/>
        <v>0</v>
      </c>
      <c r="I211" s="308">
        <f t="shared" si="61"/>
        <v>0</v>
      </c>
      <c r="J211" s="309">
        <f t="shared" si="52"/>
        <v>0</v>
      </c>
      <c r="K211" s="302"/>
      <c r="L211" s="303">
        <f t="shared" si="53"/>
        <v>-153809.59446092977</v>
      </c>
      <c r="M211" s="308">
        <f t="shared" si="57"/>
        <v>630466.40405505022</v>
      </c>
      <c r="N211" s="310">
        <f t="shared" si="54"/>
        <v>476656.80959412048</v>
      </c>
      <c r="O211" s="302"/>
      <c r="P211" s="311" t="str">
        <f>Données!AC211</f>
        <v/>
      </c>
      <c r="Q211" s="307" t="str">
        <f>Données!AD211</f>
        <v/>
      </c>
      <c r="R211" s="302">
        <f t="shared" si="58"/>
        <v>0</v>
      </c>
      <c r="S211" s="308">
        <f t="shared" si="59"/>
        <v>0</v>
      </c>
      <c r="T211" s="302">
        <f t="shared" si="60"/>
        <v>106720.3511890198</v>
      </c>
      <c r="U211" s="312">
        <f t="shared" si="55"/>
        <v>106720.3511890198</v>
      </c>
    </row>
    <row r="212" spans="1:21" x14ac:dyDescent="0.25">
      <c r="A212" s="159">
        <f>Données!A212</f>
        <v>5747</v>
      </c>
      <c r="B212" s="160" t="str">
        <f>Données!B212</f>
        <v>Bofflens</v>
      </c>
      <c r="C212" s="307">
        <f>Données!C212</f>
        <v>201</v>
      </c>
      <c r="D212" s="303">
        <f t="shared" si="51"/>
        <v>201</v>
      </c>
      <c r="E212" s="303">
        <f t="shared" si="56"/>
        <v>0</v>
      </c>
      <c r="F212" s="308">
        <f t="shared" si="61"/>
        <v>0</v>
      </c>
      <c r="G212" s="302">
        <f t="shared" si="61"/>
        <v>0</v>
      </c>
      <c r="H212" s="303">
        <f t="shared" si="61"/>
        <v>0</v>
      </c>
      <c r="I212" s="308">
        <f t="shared" si="61"/>
        <v>0</v>
      </c>
      <c r="J212" s="309">
        <f t="shared" si="52"/>
        <v>0</v>
      </c>
      <c r="K212" s="302"/>
      <c r="L212" s="303">
        <f t="shared" si="53"/>
        <v>-26790.059347181006</v>
      </c>
      <c r="M212" s="308">
        <f t="shared" si="57"/>
        <v>120117.29593845033</v>
      </c>
      <c r="N212" s="310">
        <f t="shared" si="54"/>
        <v>93327.23659126932</v>
      </c>
      <c r="O212" s="302"/>
      <c r="P212" s="311" t="str">
        <f>Données!AC212</f>
        <v/>
      </c>
      <c r="Q212" s="307" t="str">
        <f>Données!AD212</f>
        <v/>
      </c>
      <c r="R212" s="302">
        <f t="shared" si="58"/>
        <v>0</v>
      </c>
      <c r="S212" s="308">
        <f t="shared" si="59"/>
        <v>0</v>
      </c>
      <c r="T212" s="302">
        <f t="shared" si="60"/>
        <v>20332.502927955429</v>
      </c>
      <c r="U212" s="312">
        <f t="shared" si="55"/>
        <v>20332.502927955429</v>
      </c>
    </row>
    <row r="213" spans="1:21" x14ac:dyDescent="0.25">
      <c r="A213" s="159">
        <f>Données!A213</f>
        <v>5748</v>
      </c>
      <c r="B213" s="160" t="str">
        <f>Données!B213</f>
        <v>Bretonnières</v>
      </c>
      <c r="C213" s="307">
        <f>Données!C213</f>
        <v>265</v>
      </c>
      <c r="D213" s="303">
        <f t="shared" si="51"/>
        <v>265</v>
      </c>
      <c r="E213" s="303">
        <f t="shared" si="56"/>
        <v>0</v>
      </c>
      <c r="F213" s="308">
        <f t="shared" si="61"/>
        <v>0</v>
      </c>
      <c r="G213" s="302">
        <f t="shared" si="61"/>
        <v>0</v>
      </c>
      <c r="H213" s="303">
        <f t="shared" si="61"/>
        <v>0</v>
      </c>
      <c r="I213" s="308">
        <f t="shared" si="61"/>
        <v>0</v>
      </c>
      <c r="J213" s="309">
        <f t="shared" si="52"/>
        <v>0</v>
      </c>
      <c r="K213" s="302"/>
      <c r="L213" s="303">
        <f t="shared" si="53"/>
        <v>-35320.227497527201</v>
      </c>
      <c r="M213" s="308">
        <f t="shared" si="57"/>
        <v>158363.59912283253</v>
      </c>
      <c r="N213" s="310">
        <f t="shared" si="54"/>
        <v>123043.37162530533</v>
      </c>
      <c r="O213" s="302"/>
      <c r="P213" s="311" t="str">
        <f>Données!AC213</f>
        <v/>
      </c>
      <c r="Q213" s="307" t="str">
        <f>Données!AD213</f>
        <v/>
      </c>
      <c r="R213" s="302">
        <f t="shared" si="58"/>
        <v>0</v>
      </c>
      <c r="S213" s="308">
        <f t="shared" si="59"/>
        <v>0</v>
      </c>
      <c r="T213" s="302">
        <f t="shared" si="60"/>
        <v>26806.533710986016</v>
      </c>
      <c r="U213" s="312">
        <f t="shared" si="55"/>
        <v>26806.533710986016</v>
      </c>
    </row>
    <row r="214" spans="1:21" x14ac:dyDescent="0.25">
      <c r="A214" s="159">
        <f>Données!A214</f>
        <v>5749</v>
      </c>
      <c r="B214" s="160" t="str">
        <f>Données!B214</f>
        <v>Chavornay</v>
      </c>
      <c r="C214" s="307">
        <f>Données!C214</f>
        <v>5374</v>
      </c>
      <c r="D214" s="303">
        <f t="shared" si="51"/>
        <v>1000</v>
      </c>
      <c r="E214" s="303">
        <f t="shared" si="56"/>
        <v>2000</v>
      </c>
      <c r="F214" s="308">
        <f t="shared" si="61"/>
        <v>2374</v>
      </c>
      <c r="G214" s="302">
        <f t="shared" si="61"/>
        <v>0</v>
      </c>
      <c r="H214" s="303">
        <f t="shared" si="61"/>
        <v>0</v>
      </c>
      <c r="I214" s="308">
        <f t="shared" si="61"/>
        <v>0</v>
      </c>
      <c r="J214" s="309">
        <f t="shared" si="52"/>
        <v>0</v>
      </c>
      <c r="K214" s="302"/>
      <c r="L214" s="303">
        <f t="shared" si="53"/>
        <v>-2461753.2146389713</v>
      </c>
      <c r="M214" s="308">
        <f t="shared" si="57"/>
        <v>3211494.2705135923</v>
      </c>
      <c r="N214" s="310">
        <f t="shared" si="54"/>
        <v>749741.05587462103</v>
      </c>
      <c r="O214" s="302"/>
      <c r="P214" s="311" t="str">
        <f>Données!AC214</f>
        <v/>
      </c>
      <c r="Q214" s="307" t="str">
        <f>Données!AD214</f>
        <v/>
      </c>
      <c r="R214" s="302">
        <f t="shared" si="58"/>
        <v>0</v>
      </c>
      <c r="S214" s="308">
        <f t="shared" si="59"/>
        <v>0</v>
      </c>
      <c r="T214" s="302">
        <f t="shared" si="60"/>
        <v>543616.27231259935</v>
      </c>
      <c r="U214" s="312">
        <f t="shared" si="55"/>
        <v>543616.27231259935</v>
      </c>
    </row>
    <row r="215" spans="1:21" x14ac:dyDescent="0.25">
      <c r="A215" s="159">
        <f>Données!A215</f>
        <v>5750</v>
      </c>
      <c r="B215" s="160" t="str">
        <f>Données!B215</f>
        <v>Les Clées</v>
      </c>
      <c r="C215" s="307">
        <f>Données!C215</f>
        <v>195</v>
      </c>
      <c r="D215" s="303">
        <f t="shared" si="51"/>
        <v>195</v>
      </c>
      <c r="E215" s="303">
        <f t="shared" si="56"/>
        <v>0</v>
      </c>
      <c r="F215" s="308">
        <f t="shared" si="61"/>
        <v>0</v>
      </c>
      <c r="G215" s="302">
        <f t="shared" si="61"/>
        <v>0</v>
      </c>
      <c r="H215" s="303">
        <f t="shared" si="61"/>
        <v>0</v>
      </c>
      <c r="I215" s="308">
        <f t="shared" si="61"/>
        <v>0</v>
      </c>
      <c r="J215" s="309">
        <f t="shared" si="52"/>
        <v>0</v>
      </c>
      <c r="K215" s="302"/>
      <c r="L215" s="303">
        <f t="shared" si="53"/>
        <v>-25990.356083086052</v>
      </c>
      <c r="M215" s="308">
        <f t="shared" si="57"/>
        <v>116531.70501491451</v>
      </c>
      <c r="N215" s="310">
        <f t="shared" si="54"/>
        <v>90541.348931828456</v>
      </c>
      <c r="O215" s="302"/>
      <c r="P215" s="311" t="str">
        <f>Données!AC215</f>
        <v/>
      </c>
      <c r="Q215" s="307" t="str">
        <f>Données!AD215</f>
        <v/>
      </c>
      <c r="R215" s="302">
        <f t="shared" si="58"/>
        <v>0</v>
      </c>
      <c r="S215" s="308">
        <f t="shared" si="59"/>
        <v>0</v>
      </c>
      <c r="T215" s="302">
        <f t="shared" si="60"/>
        <v>19725.562542046311</v>
      </c>
      <c r="U215" s="312">
        <f t="shared" si="55"/>
        <v>19725.562542046311</v>
      </c>
    </row>
    <row r="216" spans="1:21" x14ac:dyDescent="0.25">
      <c r="A216" s="159">
        <f>Données!A216</f>
        <v>5752</v>
      </c>
      <c r="B216" s="160" t="str">
        <f>Données!B216</f>
        <v>Croy</v>
      </c>
      <c r="C216" s="307">
        <f>Données!C216</f>
        <v>408</v>
      </c>
      <c r="D216" s="303">
        <f t="shared" si="51"/>
        <v>408</v>
      </c>
      <c r="E216" s="303">
        <f t="shared" si="56"/>
        <v>0</v>
      </c>
      <c r="F216" s="308">
        <f t="shared" si="61"/>
        <v>0</v>
      </c>
      <c r="G216" s="302">
        <f t="shared" si="61"/>
        <v>0</v>
      </c>
      <c r="H216" s="303">
        <f t="shared" si="61"/>
        <v>0</v>
      </c>
      <c r="I216" s="308">
        <f t="shared" si="61"/>
        <v>0</v>
      </c>
      <c r="J216" s="309">
        <f t="shared" si="52"/>
        <v>0</v>
      </c>
      <c r="K216" s="302"/>
      <c r="L216" s="303">
        <f t="shared" si="53"/>
        <v>-54379.821958456967</v>
      </c>
      <c r="M216" s="308">
        <f t="shared" si="57"/>
        <v>243820.18280043651</v>
      </c>
      <c r="N216" s="310">
        <f t="shared" si="54"/>
        <v>189440.36084197953</v>
      </c>
      <c r="O216" s="302"/>
      <c r="P216" s="311" t="str">
        <f>Données!AC216</f>
        <v/>
      </c>
      <c r="Q216" s="307" t="str">
        <f>Données!AD216</f>
        <v/>
      </c>
      <c r="R216" s="302">
        <f t="shared" si="58"/>
        <v>0</v>
      </c>
      <c r="S216" s="308">
        <f t="shared" si="59"/>
        <v>0</v>
      </c>
      <c r="T216" s="302">
        <f t="shared" si="60"/>
        <v>41271.946241819976</v>
      </c>
      <c r="U216" s="312">
        <f t="shared" si="55"/>
        <v>41271.946241819976</v>
      </c>
    </row>
    <row r="217" spans="1:21" x14ac:dyDescent="0.25">
      <c r="A217" s="159">
        <f>Données!A217</f>
        <v>5754</v>
      </c>
      <c r="B217" s="160" t="str">
        <f>Données!B217</f>
        <v>Juriens</v>
      </c>
      <c r="C217" s="307">
        <f>Données!C217</f>
        <v>345</v>
      </c>
      <c r="D217" s="303">
        <f t="shared" si="51"/>
        <v>345</v>
      </c>
      <c r="E217" s="303">
        <f t="shared" si="56"/>
        <v>0</v>
      </c>
      <c r="F217" s="308">
        <f t="shared" si="61"/>
        <v>0</v>
      </c>
      <c r="G217" s="302">
        <f t="shared" si="61"/>
        <v>0</v>
      </c>
      <c r="H217" s="303">
        <f t="shared" si="61"/>
        <v>0</v>
      </c>
      <c r="I217" s="308">
        <f t="shared" si="61"/>
        <v>0</v>
      </c>
      <c r="J217" s="309">
        <f t="shared" si="52"/>
        <v>0</v>
      </c>
      <c r="K217" s="302"/>
      <c r="L217" s="303">
        <f t="shared" si="53"/>
        <v>-45982.93768545994</v>
      </c>
      <c r="M217" s="308">
        <f t="shared" si="57"/>
        <v>206171.47810331028</v>
      </c>
      <c r="N217" s="310">
        <f t="shared" si="54"/>
        <v>160188.54041785034</v>
      </c>
      <c r="O217" s="302"/>
      <c r="P217" s="311" t="str">
        <f>Données!AC217</f>
        <v/>
      </c>
      <c r="Q217" s="307" t="str">
        <f>Données!AD217</f>
        <v/>
      </c>
      <c r="R217" s="302">
        <f t="shared" si="58"/>
        <v>0</v>
      </c>
      <c r="S217" s="308">
        <f t="shared" si="59"/>
        <v>0</v>
      </c>
      <c r="T217" s="302">
        <f t="shared" si="60"/>
        <v>34899.072189774248</v>
      </c>
      <c r="U217" s="312">
        <f t="shared" si="55"/>
        <v>34899.072189774248</v>
      </c>
    </row>
    <row r="218" spans="1:21" x14ac:dyDescent="0.25">
      <c r="A218" s="159">
        <f>Données!A218</f>
        <v>5755</v>
      </c>
      <c r="B218" s="160" t="str">
        <f>Données!B218</f>
        <v>Lignerolle</v>
      </c>
      <c r="C218" s="307">
        <f>Données!C218</f>
        <v>452</v>
      </c>
      <c r="D218" s="303">
        <f t="shared" si="51"/>
        <v>452</v>
      </c>
      <c r="E218" s="303">
        <f t="shared" si="56"/>
        <v>0</v>
      </c>
      <c r="F218" s="308">
        <f t="shared" si="61"/>
        <v>0</v>
      </c>
      <c r="G218" s="302">
        <f t="shared" si="61"/>
        <v>0</v>
      </c>
      <c r="H218" s="303">
        <f t="shared" si="61"/>
        <v>0</v>
      </c>
      <c r="I218" s="308">
        <f t="shared" si="61"/>
        <v>0</v>
      </c>
      <c r="J218" s="309">
        <f t="shared" si="52"/>
        <v>0</v>
      </c>
      <c r="K218" s="302"/>
      <c r="L218" s="303">
        <f t="shared" si="53"/>
        <v>-60244.312561819977</v>
      </c>
      <c r="M218" s="308">
        <f t="shared" si="57"/>
        <v>270114.51623969927</v>
      </c>
      <c r="N218" s="310">
        <f t="shared" si="54"/>
        <v>209870.2036778793</v>
      </c>
      <c r="O218" s="302"/>
      <c r="P218" s="311" t="str">
        <f>Données!AC218</f>
        <v/>
      </c>
      <c r="Q218" s="307" t="str">
        <f>Données!AD218</f>
        <v/>
      </c>
      <c r="R218" s="302">
        <f t="shared" si="58"/>
        <v>0</v>
      </c>
      <c r="S218" s="308">
        <f t="shared" si="59"/>
        <v>0</v>
      </c>
      <c r="T218" s="302">
        <f t="shared" si="60"/>
        <v>45722.842405153504</v>
      </c>
      <c r="U218" s="312">
        <f t="shared" si="55"/>
        <v>45722.842405153504</v>
      </c>
    </row>
    <row r="219" spans="1:21" x14ac:dyDescent="0.25">
      <c r="A219" s="159">
        <f>Données!A219</f>
        <v>5756</v>
      </c>
      <c r="B219" s="160" t="str">
        <f>Données!B219</f>
        <v>Montcherand</v>
      </c>
      <c r="C219" s="307">
        <f>Données!C219</f>
        <v>494</v>
      </c>
      <c r="D219" s="303">
        <f t="shared" si="51"/>
        <v>494</v>
      </c>
      <c r="E219" s="303">
        <f t="shared" si="56"/>
        <v>0</v>
      </c>
      <c r="F219" s="308">
        <f t="shared" ref="F219:I228" si="62">IF($C219&lt;F$4,0,IF($C219&gt;F$5,F$5-F$4,$C219-F$4))</f>
        <v>0</v>
      </c>
      <c r="G219" s="302">
        <f t="shared" si="62"/>
        <v>0</v>
      </c>
      <c r="H219" s="303">
        <f t="shared" si="62"/>
        <v>0</v>
      </c>
      <c r="I219" s="308">
        <f t="shared" si="62"/>
        <v>0</v>
      </c>
      <c r="J219" s="309">
        <f t="shared" si="52"/>
        <v>0</v>
      </c>
      <c r="K219" s="302"/>
      <c r="L219" s="303">
        <f t="shared" si="53"/>
        <v>-65842.23541048466</v>
      </c>
      <c r="M219" s="308">
        <f t="shared" si="57"/>
        <v>295213.65270445007</v>
      </c>
      <c r="N219" s="310">
        <f t="shared" si="54"/>
        <v>229371.41729396541</v>
      </c>
      <c r="O219" s="302"/>
      <c r="P219" s="311" t="str">
        <f>Données!AC219</f>
        <v/>
      </c>
      <c r="Q219" s="307" t="str">
        <f>Données!AD219</f>
        <v/>
      </c>
      <c r="R219" s="302">
        <f t="shared" si="58"/>
        <v>0</v>
      </c>
      <c r="S219" s="308">
        <f t="shared" si="59"/>
        <v>0</v>
      </c>
      <c r="T219" s="302">
        <f t="shared" si="60"/>
        <v>49971.425106517323</v>
      </c>
      <c r="U219" s="312">
        <f t="shared" si="55"/>
        <v>49971.425106517323</v>
      </c>
    </row>
    <row r="220" spans="1:21" x14ac:dyDescent="0.25">
      <c r="A220" s="159">
        <f>Données!A220</f>
        <v>5757</v>
      </c>
      <c r="B220" s="160" t="str">
        <f>Données!B220</f>
        <v>Orbe</v>
      </c>
      <c r="C220" s="307">
        <f>Données!C220</f>
        <v>8008</v>
      </c>
      <c r="D220" s="303">
        <f t="shared" si="51"/>
        <v>1000</v>
      </c>
      <c r="E220" s="303">
        <f t="shared" si="56"/>
        <v>2000</v>
      </c>
      <c r="F220" s="308">
        <f t="shared" si="62"/>
        <v>5008</v>
      </c>
      <c r="G220" s="302">
        <f t="shared" si="62"/>
        <v>0</v>
      </c>
      <c r="H220" s="303">
        <f t="shared" si="62"/>
        <v>0</v>
      </c>
      <c r="I220" s="308">
        <f t="shared" si="62"/>
        <v>0</v>
      </c>
      <c r="J220" s="309">
        <f t="shared" si="52"/>
        <v>0</v>
      </c>
      <c r="K220" s="302"/>
      <c r="L220" s="303">
        <f t="shared" si="53"/>
        <v>-4217101.8793273987</v>
      </c>
      <c r="M220" s="308">
        <f t="shared" si="57"/>
        <v>4785568.6859458219</v>
      </c>
      <c r="N220" s="310">
        <f t="shared" si="54"/>
        <v>568466.8066184232</v>
      </c>
      <c r="O220" s="302"/>
      <c r="P220" s="311">
        <f>Données!AC220</f>
        <v>343624</v>
      </c>
      <c r="Q220" s="307">
        <f>Données!AD220</f>
        <v>13294.599999999977</v>
      </c>
      <c r="R220" s="302">
        <f t="shared" si="58"/>
        <v>356918.6</v>
      </c>
      <c r="S220" s="308">
        <f t="shared" si="59"/>
        <v>-214151.15999999997</v>
      </c>
      <c r="T220" s="302">
        <f t="shared" si="60"/>
        <v>810063.10172670195</v>
      </c>
      <c r="U220" s="312">
        <f t="shared" si="55"/>
        <v>595911.94172670203</v>
      </c>
    </row>
    <row r="221" spans="1:21" x14ac:dyDescent="0.25">
      <c r="A221" s="159">
        <f>Données!A221</f>
        <v>5758</v>
      </c>
      <c r="B221" s="160" t="str">
        <f>Données!B221</f>
        <v>La Praz</v>
      </c>
      <c r="C221" s="307">
        <f>Données!C221</f>
        <v>214</v>
      </c>
      <c r="D221" s="303">
        <f t="shared" si="51"/>
        <v>214</v>
      </c>
      <c r="E221" s="303">
        <f t="shared" si="56"/>
        <v>0</v>
      </c>
      <c r="F221" s="308">
        <f t="shared" si="62"/>
        <v>0</v>
      </c>
      <c r="G221" s="302">
        <f t="shared" si="62"/>
        <v>0</v>
      </c>
      <c r="H221" s="303">
        <f t="shared" si="62"/>
        <v>0</v>
      </c>
      <c r="I221" s="308">
        <f t="shared" si="62"/>
        <v>0</v>
      </c>
      <c r="J221" s="309">
        <f t="shared" si="52"/>
        <v>0</v>
      </c>
      <c r="K221" s="302"/>
      <c r="L221" s="303">
        <f t="shared" si="53"/>
        <v>-28522.749752720076</v>
      </c>
      <c r="M221" s="308">
        <f t="shared" si="57"/>
        <v>127886.07627277797</v>
      </c>
      <c r="N221" s="310">
        <f t="shared" si="54"/>
        <v>99363.32652005789</v>
      </c>
      <c r="O221" s="302"/>
      <c r="P221" s="311" t="str">
        <f>Données!AC221</f>
        <v/>
      </c>
      <c r="Q221" s="307" t="str">
        <f>Données!AD221</f>
        <v/>
      </c>
      <c r="R221" s="302">
        <f t="shared" si="58"/>
        <v>0</v>
      </c>
      <c r="S221" s="308">
        <f t="shared" si="59"/>
        <v>0</v>
      </c>
      <c r="T221" s="302">
        <f t="shared" si="60"/>
        <v>21647.540430758516</v>
      </c>
      <c r="U221" s="312">
        <f t="shared" si="55"/>
        <v>21647.540430758516</v>
      </c>
    </row>
    <row r="222" spans="1:21" x14ac:dyDescent="0.25">
      <c r="A222" s="159">
        <f>Données!A222</f>
        <v>5759</v>
      </c>
      <c r="B222" s="160" t="str">
        <f>Données!B222</f>
        <v>Premier</v>
      </c>
      <c r="C222" s="307">
        <f>Données!C222</f>
        <v>233</v>
      </c>
      <c r="D222" s="303">
        <f t="shared" si="51"/>
        <v>233</v>
      </c>
      <c r="E222" s="303">
        <f t="shared" si="56"/>
        <v>0</v>
      </c>
      <c r="F222" s="308">
        <f t="shared" si="62"/>
        <v>0</v>
      </c>
      <c r="G222" s="302">
        <f t="shared" si="62"/>
        <v>0</v>
      </c>
      <c r="H222" s="303">
        <f t="shared" si="62"/>
        <v>0</v>
      </c>
      <c r="I222" s="308">
        <f t="shared" si="62"/>
        <v>0</v>
      </c>
      <c r="J222" s="309">
        <f t="shared" si="52"/>
        <v>0</v>
      </c>
      <c r="K222" s="302"/>
      <c r="L222" s="303">
        <f t="shared" si="53"/>
        <v>-31055.143422354104</v>
      </c>
      <c r="M222" s="308">
        <f t="shared" si="57"/>
        <v>139240.44753064142</v>
      </c>
      <c r="N222" s="310">
        <f t="shared" si="54"/>
        <v>108185.30410828732</v>
      </c>
      <c r="O222" s="302"/>
      <c r="P222" s="311" t="str">
        <f>Données!AC222</f>
        <v/>
      </c>
      <c r="Q222" s="307" t="str">
        <f>Données!AD222</f>
        <v/>
      </c>
      <c r="R222" s="302">
        <f t="shared" si="58"/>
        <v>0</v>
      </c>
      <c r="S222" s="308">
        <f t="shared" si="59"/>
        <v>0</v>
      </c>
      <c r="T222" s="302">
        <f t="shared" si="60"/>
        <v>23569.518319470721</v>
      </c>
      <c r="U222" s="312">
        <f t="shared" si="55"/>
        <v>23569.518319470721</v>
      </c>
    </row>
    <row r="223" spans="1:21" x14ac:dyDescent="0.25">
      <c r="A223" s="159">
        <f>Données!A223</f>
        <v>5760</v>
      </c>
      <c r="B223" s="160" t="str">
        <f>Données!B223</f>
        <v>Rances</v>
      </c>
      <c r="C223" s="307">
        <f>Données!C223</f>
        <v>513</v>
      </c>
      <c r="D223" s="303">
        <f t="shared" si="51"/>
        <v>513</v>
      </c>
      <c r="E223" s="303">
        <f t="shared" si="56"/>
        <v>0</v>
      </c>
      <c r="F223" s="308">
        <f t="shared" si="62"/>
        <v>0</v>
      </c>
      <c r="G223" s="302">
        <f t="shared" si="62"/>
        <v>0</v>
      </c>
      <c r="H223" s="303">
        <f t="shared" si="62"/>
        <v>0</v>
      </c>
      <c r="I223" s="308">
        <f t="shared" si="62"/>
        <v>0</v>
      </c>
      <c r="J223" s="309">
        <f t="shared" si="52"/>
        <v>0</v>
      </c>
      <c r="K223" s="302"/>
      <c r="L223" s="303">
        <f t="shared" si="53"/>
        <v>-68374.629080118684</v>
      </c>
      <c r="M223" s="308">
        <f t="shared" si="57"/>
        <v>306568.02396231354</v>
      </c>
      <c r="N223" s="310">
        <f t="shared" si="54"/>
        <v>238193.39488219487</v>
      </c>
      <c r="O223" s="302"/>
      <c r="P223" s="311" t="str">
        <f>Données!AC223</f>
        <v/>
      </c>
      <c r="Q223" s="307" t="str">
        <f>Données!AD223</f>
        <v/>
      </c>
      <c r="R223" s="302">
        <f t="shared" si="58"/>
        <v>0</v>
      </c>
      <c r="S223" s="308">
        <f t="shared" si="59"/>
        <v>0</v>
      </c>
      <c r="T223" s="302">
        <f t="shared" si="60"/>
        <v>51893.402995229531</v>
      </c>
      <c r="U223" s="312">
        <f t="shared" si="55"/>
        <v>51893.402995229531</v>
      </c>
    </row>
    <row r="224" spans="1:21" x14ac:dyDescent="0.25">
      <c r="A224" s="159">
        <f>Données!A224</f>
        <v>5761</v>
      </c>
      <c r="B224" s="160" t="str">
        <f>Données!B224</f>
        <v>Romainmôtier-Envy</v>
      </c>
      <c r="C224" s="307">
        <f>Données!C224</f>
        <v>579</v>
      </c>
      <c r="D224" s="303">
        <f t="shared" si="51"/>
        <v>579</v>
      </c>
      <c r="E224" s="303">
        <f t="shared" si="56"/>
        <v>0</v>
      </c>
      <c r="F224" s="308">
        <f t="shared" si="62"/>
        <v>0</v>
      </c>
      <c r="G224" s="302">
        <f t="shared" si="62"/>
        <v>0</v>
      </c>
      <c r="H224" s="303">
        <f t="shared" si="62"/>
        <v>0</v>
      </c>
      <c r="I224" s="308">
        <f t="shared" si="62"/>
        <v>0</v>
      </c>
      <c r="J224" s="309">
        <f t="shared" si="52"/>
        <v>0</v>
      </c>
      <c r="K224" s="302"/>
      <c r="L224" s="303">
        <f t="shared" si="53"/>
        <v>-77171.364985163207</v>
      </c>
      <c r="M224" s="308">
        <f t="shared" si="57"/>
        <v>346009.52412120765</v>
      </c>
      <c r="N224" s="310">
        <f t="shared" si="54"/>
        <v>268838.15913604444</v>
      </c>
      <c r="O224" s="302"/>
      <c r="P224" s="311" t="str">
        <f>Données!AC224</f>
        <v/>
      </c>
      <c r="Q224" s="307" t="str">
        <f>Données!AD224</f>
        <v/>
      </c>
      <c r="R224" s="302">
        <f t="shared" si="58"/>
        <v>0</v>
      </c>
      <c r="S224" s="308">
        <f t="shared" si="59"/>
        <v>0</v>
      </c>
      <c r="T224" s="302">
        <f t="shared" si="60"/>
        <v>58569.747240229823</v>
      </c>
      <c r="U224" s="312">
        <f t="shared" si="55"/>
        <v>58569.747240229823</v>
      </c>
    </row>
    <row r="225" spans="1:21" x14ac:dyDescent="0.25">
      <c r="A225" s="159">
        <f>Données!A225</f>
        <v>5762</v>
      </c>
      <c r="B225" s="160" t="str">
        <f>Données!B225</f>
        <v>Sergey</v>
      </c>
      <c r="C225" s="307">
        <f>Données!C225</f>
        <v>165</v>
      </c>
      <c r="D225" s="303">
        <f t="shared" si="51"/>
        <v>165</v>
      </c>
      <c r="E225" s="303">
        <f t="shared" si="56"/>
        <v>0</v>
      </c>
      <c r="F225" s="308">
        <f t="shared" si="62"/>
        <v>0</v>
      </c>
      <c r="G225" s="302">
        <f t="shared" si="62"/>
        <v>0</v>
      </c>
      <c r="H225" s="303">
        <f t="shared" si="62"/>
        <v>0</v>
      </c>
      <c r="I225" s="308">
        <f t="shared" si="62"/>
        <v>0</v>
      </c>
      <c r="J225" s="309">
        <f t="shared" si="52"/>
        <v>0</v>
      </c>
      <c r="K225" s="302"/>
      <c r="L225" s="303">
        <f t="shared" si="53"/>
        <v>-21991.839762611275</v>
      </c>
      <c r="M225" s="308">
        <f t="shared" si="57"/>
        <v>98603.750397235344</v>
      </c>
      <c r="N225" s="310">
        <f t="shared" si="54"/>
        <v>76611.910634624073</v>
      </c>
      <c r="O225" s="302"/>
      <c r="P225" s="311" t="str">
        <f>Données!AC225</f>
        <v/>
      </c>
      <c r="Q225" s="307" t="str">
        <f>Données!AD225</f>
        <v/>
      </c>
      <c r="R225" s="302">
        <f t="shared" si="58"/>
        <v>0</v>
      </c>
      <c r="S225" s="308">
        <f t="shared" si="59"/>
        <v>0</v>
      </c>
      <c r="T225" s="302">
        <f t="shared" si="60"/>
        <v>16690.860612500725</v>
      </c>
      <c r="U225" s="312">
        <f t="shared" si="55"/>
        <v>16690.860612500725</v>
      </c>
    </row>
    <row r="226" spans="1:21" x14ac:dyDescent="0.25">
      <c r="A226" s="159">
        <f>Données!A226</f>
        <v>5763</v>
      </c>
      <c r="B226" s="160" t="str">
        <f>Données!B226</f>
        <v>Valeyres-sous-Rances</v>
      </c>
      <c r="C226" s="307">
        <f>Données!C226</f>
        <v>573</v>
      </c>
      <c r="D226" s="303">
        <f t="shared" si="51"/>
        <v>573</v>
      </c>
      <c r="E226" s="303">
        <f t="shared" si="56"/>
        <v>0</v>
      </c>
      <c r="F226" s="308">
        <f t="shared" si="62"/>
        <v>0</v>
      </c>
      <c r="G226" s="302">
        <f t="shared" si="62"/>
        <v>0</v>
      </c>
      <c r="H226" s="303">
        <f t="shared" si="62"/>
        <v>0</v>
      </c>
      <c r="I226" s="308">
        <f t="shared" si="62"/>
        <v>0</v>
      </c>
      <c r="J226" s="309">
        <f t="shared" si="52"/>
        <v>0</v>
      </c>
      <c r="K226" s="302"/>
      <c r="L226" s="303">
        <f t="shared" si="53"/>
        <v>-76371.661721068245</v>
      </c>
      <c r="M226" s="308">
        <f t="shared" si="57"/>
        <v>342423.93319767184</v>
      </c>
      <c r="N226" s="310">
        <f t="shared" si="54"/>
        <v>266052.27147660358</v>
      </c>
      <c r="O226" s="302"/>
      <c r="P226" s="311" t="str">
        <f>Données!AC226</f>
        <v/>
      </c>
      <c r="Q226" s="307" t="str">
        <f>Données!AD226</f>
        <v/>
      </c>
      <c r="R226" s="302">
        <f t="shared" si="58"/>
        <v>0</v>
      </c>
      <c r="S226" s="308">
        <f t="shared" si="59"/>
        <v>0</v>
      </c>
      <c r="T226" s="302">
        <f t="shared" si="60"/>
        <v>57962.806854320705</v>
      </c>
      <c r="U226" s="312">
        <f t="shared" si="55"/>
        <v>57962.806854320705</v>
      </c>
    </row>
    <row r="227" spans="1:21" x14ac:dyDescent="0.25">
      <c r="A227" s="159">
        <f>Données!A227</f>
        <v>5764</v>
      </c>
      <c r="B227" s="160" t="str">
        <f>Données!B227</f>
        <v>Vallorbe</v>
      </c>
      <c r="C227" s="307">
        <f>Données!C227</f>
        <v>4434</v>
      </c>
      <c r="D227" s="303">
        <f t="shared" si="51"/>
        <v>1000</v>
      </c>
      <c r="E227" s="303">
        <f t="shared" si="56"/>
        <v>2000</v>
      </c>
      <c r="F227" s="308">
        <f t="shared" si="62"/>
        <v>1434</v>
      </c>
      <c r="G227" s="302">
        <f t="shared" si="62"/>
        <v>0</v>
      </c>
      <c r="H227" s="303">
        <f t="shared" si="62"/>
        <v>0</v>
      </c>
      <c r="I227" s="308">
        <f t="shared" si="62"/>
        <v>0</v>
      </c>
      <c r="J227" s="309">
        <f t="shared" si="52"/>
        <v>0</v>
      </c>
      <c r="K227" s="302"/>
      <c r="L227" s="303">
        <f t="shared" si="53"/>
        <v>-1835318.9910979229</v>
      </c>
      <c r="M227" s="308">
        <f t="shared" si="57"/>
        <v>2649751.6924929791</v>
      </c>
      <c r="N227" s="310">
        <f t="shared" si="54"/>
        <v>814432.70139505621</v>
      </c>
      <c r="O227" s="302"/>
      <c r="P227" s="311" t="str">
        <f>Données!AC227</f>
        <v/>
      </c>
      <c r="Q227" s="307" t="str">
        <f>Données!AD227</f>
        <v/>
      </c>
      <c r="R227" s="302">
        <f t="shared" si="58"/>
        <v>0</v>
      </c>
      <c r="S227" s="308">
        <f t="shared" si="59"/>
        <v>0</v>
      </c>
      <c r="T227" s="302">
        <f t="shared" si="60"/>
        <v>448528.94518683769</v>
      </c>
      <c r="U227" s="312">
        <f t="shared" si="55"/>
        <v>448528.94518683769</v>
      </c>
    </row>
    <row r="228" spans="1:21" x14ac:dyDescent="0.25">
      <c r="A228" s="159">
        <f>Données!A228</f>
        <v>5765</v>
      </c>
      <c r="B228" s="160" t="str">
        <f>Données!B228</f>
        <v>Vaulion</v>
      </c>
      <c r="C228" s="307">
        <f>Données!C228</f>
        <v>500</v>
      </c>
      <c r="D228" s="303">
        <f t="shared" si="51"/>
        <v>500</v>
      </c>
      <c r="E228" s="303">
        <f t="shared" si="56"/>
        <v>0</v>
      </c>
      <c r="F228" s="308">
        <f t="shared" si="62"/>
        <v>0</v>
      </c>
      <c r="G228" s="302">
        <f t="shared" si="62"/>
        <v>0</v>
      </c>
      <c r="H228" s="303">
        <f t="shared" si="62"/>
        <v>0</v>
      </c>
      <c r="I228" s="308">
        <f t="shared" si="62"/>
        <v>0</v>
      </c>
      <c r="J228" s="309">
        <f t="shared" si="52"/>
        <v>0</v>
      </c>
      <c r="K228" s="302"/>
      <c r="L228" s="303">
        <f t="shared" si="53"/>
        <v>-66641.938674579622</v>
      </c>
      <c r="M228" s="308">
        <f t="shared" si="57"/>
        <v>298799.24362798588</v>
      </c>
      <c r="N228" s="310">
        <f t="shared" si="54"/>
        <v>232157.30495340627</v>
      </c>
      <c r="O228" s="302"/>
      <c r="P228" s="311" t="str">
        <f>Données!AC228</f>
        <v/>
      </c>
      <c r="Q228" s="307" t="str">
        <f>Données!AD228</f>
        <v/>
      </c>
      <c r="R228" s="302">
        <f t="shared" si="58"/>
        <v>0</v>
      </c>
      <c r="S228" s="308">
        <f t="shared" si="59"/>
        <v>0</v>
      </c>
      <c r="T228" s="302">
        <f t="shared" si="60"/>
        <v>50578.365492426441</v>
      </c>
      <c r="U228" s="312">
        <f t="shared" si="55"/>
        <v>50578.365492426441</v>
      </c>
    </row>
    <row r="229" spans="1:21" x14ac:dyDescent="0.25">
      <c r="A229" s="159">
        <f>Données!A229</f>
        <v>5766</v>
      </c>
      <c r="B229" s="160" t="str">
        <f>Données!B229</f>
        <v>Vuiteboeuf</v>
      </c>
      <c r="C229" s="307">
        <f>Données!C229</f>
        <v>616</v>
      </c>
      <c r="D229" s="303">
        <f t="shared" si="51"/>
        <v>616</v>
      </c>
      <c r="E229" s="303">
        <f t="shared" si="56"/>
        <v>0</v>
      </c>
      <c r="F229" s="308">
        <f t="shared" ref="F229:I238" si="63">IF($C229&lt;F$4,0,IF($C229&gt;F$5,F$5-F$4,$C229-F$4))</f>
        <v>0</v>
      </c>
      <c r="G229" s="302">
        <f t="shared" si="63"/>
        <v>0</v>
      </c>
      <c r="H229" s="303">
        <f t="shared" si="63"/>
        <v>0</v>
      </c>
      <c r="I229" s="308">
        <f t="shared" si="63"/>
        <v>0</v>
      </c>
      <c r="J229" s="309">
        <f t="shared" si="52"/>
        <v>0</v>
      </c>
      <c r="K229" s="302"/>
      <c r="L229" s="303">
        <f t="shared" si="53"/>
        <v>-82102.868447082088</v>
      </c>
      <c r="M229" s="308">
        <f t="shared" si="57"/>
        <v>368120.66814967862</v>
      </c>
      <c r="N229" s="310">
        <f t="shared" si="54"/>
        <v>286017.7997025965</v>
      </c>
      <c r="O229" s="302"/>
      <c r="P229" s="311" t="str">
        <f>Données!AC229</f>
        <v/>
      </c>
      <c r="Q229" s="307" t="str">
        <f>Données!AD229</f>
        <v/>
      </c>
      <c r="R229" s="302">
        <f t="shared" si="58"/>
        <v>0</v>
      </c>
      <c r="S229" s="308">
        <f t="shared" si="59"/>
        <v>0</v>
      </c>
      <c r="T229" s="302">
        <f t="shared" si="60"/>
        <v>62312.546286669378</v>
      </c>
      <c r="U229" s="312">
        <f t="shared" si="55"/>
        <v>62312.546286669378</v>
      </c>
    </row>
    <row r="230" spans="1:21" x14ac:dyDescent="0.25">
      <c r="A230" s="159">
        <f>Données!A230</f>
        <v>5785</v>
      </c>
      <c r="B230" s="160" t="str">
        <f>Données!B230</f>
        <v>Corcelles-le-Jorat</v>
      </c>
      <c r="C230" s="307">
        <f>Données!C230</f>
        <v>495</v>
      </c>
      <c r="D230" s="303">
        <f t="shared" si="51"/>
        <v>495</v>
      </c>
      <c r="E230" s="303">
        <f t="shared" si="56"/>
        <v>0</v>
      </c>
      <c r="F230" s="308">
        <f t="shared" si="63"/>
        <v>0</v>
      </c>
      <c r="G230" s="302">
        <f t="shared" si="63"/>
        <v>0</v>
      </c>
      <c r="H230" s="303">
        <f t="shared" si="63"/>
        <v>0</v>
      </c>
      <c r="I230" s="308">
        <f t="shared" si="63"/>
        <v>0</v>
      </c>
      <c r="J230" s="309">
        <f t="shared" si="52"/>
        <v>0</v>
      </c>
      <c r="K230" s="302"/>
      <c r="L230" s="303">
        <f t="shared" si="53"/>
        <v>-65975.519287833828</v>
      </c>
      <c r="M230" s="308">
        <f t="shared" si="57"/>
        <v>295811.25119170605</v>
      </c>
      <c r="N230" s="310">
        <f t="shared" si="54"/>
        <v>229835.73190387222</v>
      </c>
      <c r="O230" s="302"/>
      <c r="P230" s="311" t="str">
        <f>Données!AC230</f>
        <v/>
      </c>
      <c r="Q230" s="307" t="str">
        <f>Données!AD230</f>
        <v/>
      </c>
      <c r="R230" s="302">
        <f t="shared" si="58"/>
        <v>0</v>
      </c>
      <c r="S230" s="308">
        <f t="shared" si="59"/>
        <v>0</v>
      </c>
      <c r="T230" s="302">
        <f t="shared" si="60"/>
        <v>50072.581837502177</v>
      </c>
      <c r="U230" s="312">
        <f t="shared" si="55"/>
        <v>50072.581837502177</v>
      </c>
    </row>
    <row r="231" spans="1:21" x14ac:dyDescent="0.25">
      <c r="A231" s="159">
        <f>Données!A231</f>
        <v>5790</v>
      </c>
      <c r="B231" s="160" t="str">
        <f>Données!B231</f>
        <v>Maracon</v>
      </c>
      <c r="C231" s="307">
        <f>Données!C231</f>
        <v>565</v>
      </c>
      <c r="D231" s="303">
        <f t="shared" si="51"/>
        <v>565</v>
      </c>
      <c r="E231" s="303">
        <f t="shared" si="56"/>
        <v>0</v>
      </c>
      <c r="F231" s="308">
        <f t="shared" si="63"/>
        <v>0</v>
      </c>
      <c r="G231" s="302">
        <f t="shared" si="63"/>
        <v>0</v>
      </c>
      <c r="H231" s="303">
        <f t="shared" si="63"/>
        <v>0</v>
      </c>
      <c r="I231" s="308">
        <f t="shared" si="63"/>
        <v>0</v>
      </c>
      <c r="J231" s="309">
        <f t="shared" si="52"/>
        <v>0</v>
      </c>
      <c r="K231" s="302"/>
      <c r="L231" s="303">
        <f t="shared" si="53"/>
        <v>-75305.390702274977</v>
      </c>
      <c r="M231" s="308">
        <f t="shared" si="57"/>
        <v>337643.14529962407</v>
      </c>
      <c r="N231" s="310">
        <f t="shared" si="54"/>
        <v>262337.75459734909</v>
      </c>
      <c r="O231" s="302"/>
      <c r="P231" s="311" t="str">
        <f>Données!AC231</f>
        <v/>
      </c>
      <c r="Q231" s="307" t="str">
        <f>Données!AD231</f>
        <v/>
      </c>
      <c r="R231" s="302">
        <f t="shared" si="58"/>
        <v>0</v>
      </c>
      <c r="S231" s="308">
        <f t="shared" si="59"/>
        <v>0</v>
      </c>
      <c r="T231" s="302">
        <f t="shared" si="60"/>
        <v>57153.553006441878</v>
      </c>
      <c r="U231" s="312">
        <f t="shared" si="55"/>
        <v>57153.553006441878</v>
      </c>
    </row>
    <row r="232" spans="1:21" x14ac:dyDescent="0.25">
      <c r="A232" s="159">
        <f>Données!A232</f>
        <v>5792</v>
      </c>
      <c r="B232" s="160" t="str">
        <f>Données!B232</f>
        <v>Montpreveyres</v>
      </c>
      <c r="C232" s="307">
        <f>Données!C232</f>
        <v>670</v>
      </c>
      <c r="D232" s="303">
        <f t="shared" si="51"/>
        <v>670</v>
      </c>
      <c r="E232" s="303">
        <f t="shared" si="56"/>
        <v>0</v>
      </c>
      <c r="F232" s="308">
        <f t="shared" si="63"/>
        <v>0</v>
      </c>
      <c r="G232" s="302">
        <f t="shared" si="63"/>
        <v>0</v>
      </c>
      <c r="H232" s="303">
        <f t="shared" si="63"/>
        <v>0</v>
      </c>
      <c r="I232" s="308">
        <f t="shared" si="63"/>
        <v>0</v>
      </c>
      <c r="J232" s="309">
        <f t="shared" si="52"/>
        <v>0</v>
      </c>
      <c r="K232" s="302"/>
      <c r="L232" s="303">
        <f t="shared" si="53"/>
        <v>-89300.197823936687</v>
      </c>
      <c r="M232" s="308">
        <f t="shared" si="57"/>
        <v>400390.9864615011</v>
      </c>
      <c r="N232" s="310">
        <f t="shared" si="54"/>
        <v>311090.7886375644</v>
      </c>
      <c r="O232" s="302"/>
      <c r="P232" s="311" t="str">
        <f>Données!AC232</f>
        <v/>
      </c>
      <c r="Q232" s="307" t="str">
        <f>Données!AD232</f>
        <v/>
      </c>
      <c r="R232" s="302">
        <f t="shared" si="58"/>
        <v>0</v>
      </c>
      <c r="S232" s="308">
        <f t="shared" si="59"/>
        <v>0</v>
      </c>
      <c r="T232" s="302">
        <f t="shared" si="60"/>
        <v>67775.009759851426</v>
      </c>
      <c r="U232" s="312">
        <f t="shared" si="55"/>
        <v>67775.009759851426</v>
      </c>
    </row>
    <row r="233" spans="1:21" x14ac:dyDescent="0.25">
      <c r="A233" s="159">
        <f>Données!A233</f>
        <v>5798</v>
      </c>
      <c r="B233" s="160" t="str">
        <f>Données!B233</f>
        <v>Ropraz</v>
      </c>
      <c r="C233" s="307">
        <f>Données!C233</f>
        <v>535</v>
      </c>
      <c r="D233" s="303">
        <f t="shared" si="51"/>
        <v>535</v>
      </c>
      <c r="E233" s="303">
        <f t="shared" si="56"/>
        <v>0</v>
      </c>
      <c r="F233" s="308">
        <f t="shared" si="63"/>
        <v>0</v>
      </c>
      <c r="G233" s="302">
        <f t="shared" si="63"/>
        <v>0</v>
      </c>
      <c r="H233" s="303">
        <f t="shared" si="63"/>
        <v>0</v>
      </c>
      <c r="I233" s="308">
        <f t="shared" si="63"/>
        <v>0</v>
      </c>
      <c r="J233" s="309">
        <f t="shared" si="52"/>
        <v>0</v>
      </c>
      <c r="K233" s="302"/>
      <c r="L233" s="303">
        <f t="shared" si="53"/>
        <v>-71306.874381800197</v>
      </c>
      <c r="M233" s="308">
        <f t="shared" si="57"/>
        <v>319715.19068194489</v>
      </c>
      <c r="N233" s="310">
        <f t="shared" si="54"/>
        <v>248408.31630014471</v>
      </c>
      <c r="O233" s="302"/>
      <c r="P233" s="311" t="str">
        <f>Données!AC233</f>
        <v/>
      </c>
      <c r="Q233" s="307" t="str">
        <f>Données!AD233</f>
        <v/>
      </c>
      <c r="R233" s="302">
        <f t="shared" si="58"/>
        <v>0</v>
      </c>
      <c r="S233" s="308">
        <f t="shared" si="59"/>
        <v>0</v>
      </c>
      <c r="T233" s="302">
        <f t="shared" si="60"/>
        <v>54118.851076896295</v>
      </c>
      <c r="U233" s="312">
        <f t="shared" si="55"/>
        <v>54118.851076896295</v>
      </c>
    </row>
    <row r="234" spans="1:21" x14ac:dyDescent="0.25">
      <c r="A234" s="159">
        <f>Données!A234</f>
        <v>5799</v>
      </c>
      <c r="B234" s="160" t="str">
        <f>Données!B234</f>
        <v>Servion</v>
      </c>
      <c r="C234" s="307">
        <f>Données!C234</f>
        <v>2241</v>
      </c>
      <c r="D234" s="303">
        <f t="shared" si="51"/>
        <v>1000</v>
      </c>
      <c r="E234" s="303">
        <f t="shared" si="56"/>
        <v>1241</v>
      </c>
      <c r="F234" s="308">
        <f t="shared" si="63"/>
        <v>0</v>
      </c>
      <c r="G234" s="302">
        <f t="shared" si="63"/>
        <v>0</v>
      </c>
      <c r="H234" s="303">
        <f t="shared" si="63"/>
        <v>0</v>
      </c>
      <c r="I234" s="308">
        <f t="shared" si="63"/>
        <v>0</v>
      </c>
      <c r="J234" s="309">
        <f t="shared" si="52"/>
        <v>0</v>
      </c>
      <c r="K234" s="302"/>
      <c r="L234" s="303">
        <f t="shared" si="53"/>
        <v>-596418.69436201779</v>
      </c>
      <c r="M234" s="308">
        <f t="shared" si="57"/>
        <v>1339218.2099406328</v>
      </c>
      <c r="N234" s="310">
        <f t="shared" si="54"/>
        <v>742799.51557861501</v>
      </c>
      <c r="O234" s="302"/>
      <c r="P234" s="311" t="str">
        <f>Données!AC234</f>
        <v/>
      </c>
      <c r="Q234" s="307" t="str">
        <f>Données!AD234</f>
        <v/>
      </c>
      <c r="R234" s="302">
        <f t="shared" si="58"/>
        <v>0</v>
      </c>
      <c r="S234" s="308">
        <f t="shared" si="59"/>
        <v>0</v>
      </c>
      <c r="T234" s="302">
        <f t="shared" si="60"/>
        <v>226692.23413705532</v>
      </c>
      <c r="U234" s="312">
        <f t="shared" si="55"/>
        <v>226692.23413705532</v>
      </c>
    </row>
    <row r="235" spans="1:21" x14ac:dyDescent="0.25">
      <c r="A235" s="159">
        <f>Données!A235</f>
        <v>5803</v>
      </c>
      <c r="B235" s="160" t="str">
        <f>Données!B235</f>
        <v>Vulliens</v>
      </c>
      <c r="C235" s="307">
        <f>Données!C235</f>
        <v>630</v>
      </c>
      <c r="D235" s="303">
        <f t="shared" si="51"/>
        <v>630</v>
      </c>
      <c r="E235" s="303">
        <f t="shared" si="56"/>
        <v>0</v>
      </c>
      <c r="F235" s="308">
        <f t="shared" si="63"/>
        <v>0</v>
      </c>
      <c r="G235" s="302">
        <f t="shared" si="63"/>
        <v>0</v>
      </c>
      <c r="H235" s="303">
        <f t="shared" si="63"/>
        <v>0</v>
      </c>
      <c r="I235" s="308">
        <f t="shared" si="63"/>
        <v>0</v>
      </c>
      <c r="J235" s="309">
        <f t="shared" si="52"/>
        <v>0</v>
      </c>
      <c r="K235" s="302"/>
      <c r="L235" s="303">
        <f t="shared" si="53"/>
        <v>-83968.842729970318</v>
      </c>
      <c r="M235" s="308">
        <f t="shared" si="57"/>
        <v>376487.04697126226</v>
      </c>
      <c r="N235" s="310">
        <f t="shared" si="54"/>
        <v>292518.20424129197</v>
      </c>
      <c r="O235" s="302"/>
      <c r="P235" s="311" t="str">
        <f>Données!AC235</f>
        <v/>
      </c>
      <c r="Q235" s="307" t="str">
        <f>Données!AD235</f>
        <v/>
      </c>
      <c r="R235" s="302">
        <f t="shared" si="58"/>
        <v>0</v>
      </c>
      <c r="S235" s="308">
        <f t="shared" si="59"/>
        <v>0</v>
      </c>
      <c r="T235" s="302">
        <f t="shared" si="60"/>
        <v>63728.740520457315</v>
      </c>
      <c r="U235" s="312">
        <f t="shared" si="55"/>
        <v>63728.740520457315</v>
      </c>
    </row>
    <row r="236" spans="1:21" x14ac:dyDescent="0.25">
      <c r="A236" s="159">
        <f>Données!A236</f>
        <v>5804</v>
      </c>
      <c r="B236" s="160" t="str">
        <f>Données!B236</f>
        <v>Jorat-Menthue</v>
      </c>
      <c r="C236" s="307">
        <f>Données!C236</f>
        <v>1564</v>
      </c>
      <c r="D236" s="303">
        <f t="shared" si="51"/>
        <v>1000</v>
      </c>
      <c r="E236" s="303">
        <f t="shared" si="56"/>
        <v>564</v>
      </c>
      <c r="F236" s="308">
        <f t="shared" si="63"/>
        <v>0</v>
      </c>
      <c r="G236" s="302">
        <f t="shared" si="63"/>
        <v>0</v>
      </c>
      <c r="H236" s="303">
        <f t="shared" si="63"/>
        <v>0</v>
      </c>
      <c r="I236" s="308">
        <f t="shared" si="63"/>
        <v>0</v>
      </c>
      <c r="J236" s="309">
        <f t="shared" si="52"/>
        <v>0</v>
      </c>
      <c r="K236" s="302"/>
      <c r="L236" s="303">
        <f t="shared" si="53"/>
        <v>-343765.77645895153</v>
      </c>
      <c r="M236" s="308">
        <f t="shared" si="57"/>
        <v>934644.03406833985</v>
      </c>
      <c r="N236" s="310">
        <f t="shared" si="54"/>
        <v>590878.25760938833</v>
      </c>
      <c r="O236" s="302"/>
      <c r="P236" s="311" t="str">
        <f>Données!AC236</f>
        <v/>
      </c>
      <c r="Q236" s="307" t="str">
        <f>Données!AD236</f>
        <v/>
      </c>
      <c r="R236" s="302">
        <f t="shared" si="58"/>
        <v>0</v>
      </c>
      <c r="S236" s="308">
        <f t="shared" si="59"/>
        <v>0</v>
      </c>
      <c r="T236" s="302">
        <f t="shared" si="60"/>
        <v>158209.12726030991</v>
      </c>
      <c r="U236" s="312">
        <f t="shared" si="55"/>
        <v>158209.12726030991</v>
      </c>
    </row>
    <row r="237" spans="1:21" x14ac:dyDescent="0.25">
      <c r="A237" s="159">
        <f>Données!A237</f>
        <v>5805</v>
      </c>
      <c r="B237" s="160" t="str">
        <f>Données!B237</f>
        <v>Oron</v>
      </c>
      <c r="C237" s="307">
        <f>Données!C237</f>
        <v>6451</v>
      </c>
      <c r="D237" s="303">
        <f t="shared" si="51"/>
        <v>1000</v>
      </c>
      <c r="E237" s="303">
        <f t="shared" si="56"/>
        <v>2000</v>
      </c>
      <c r="F237" s="308">
        <f t="shared" si="63"/>
        <v>3451</v>
      </c>
      <c r="G237" s="302">
        <f t="shared" si="63"/>
        <v>0</v>
      </c>
      <c r="H237" s="303">
        <f t="shared" si="63"/>
        <v>0</v>
      </c>
      <c r="I237" s="308">
        <f t="shared" si="63"/>
        <v>0</v>
      </c>
      <c r="J237" s="309">
        <f t="shared" si="52"/>
        <v>0</v>
      </c>
      <c r="K237" s="302"/>
      <c r="L237" s="303">
        <f t="shared" si="53"/>
        <v>-3179486.8941641939</v>
      </c>
      <c r="M237" s="308">
        <f t="shared" si="57"/>
        <v>3855107.8412882742</v>
      </c>
      <c r="N237" s="310">
        <f t="shared" si="54"/>
        <v>675620.94712408027</v>
      </c>
      <c r="O237" s="302"/>
      <c r="P237" s="311" t="str">
        <f>Données!AC237</f>
        <v/>
      </c>
      <c r="Q237" s="307" t="str">
        <f>Données!AD237</f>
        <v/>
      </c>
      <c r="R237" s="302">
        <f t="shared" si="58"/>
        <v>0</v>
      </c>
      <c r="S237" s="308">
        <f t="shared" si="59"/>
        <v>0</v>
      </c>
      <c r="T237" s="302">
        <f t="shared" si="60"/>
        <v>652562.07158328593</v>
      </c>
      <c r="U237" s="312">
        <f t="shared" si="55"/>
        <v>652562.07158328593</v>
      </c>
    </row>
    <row r="238" spans="1:21" x14ac:dyDescent="0.25">
      <c r="A238" s="159">
        <f>Données!A238</f>
        <v>5806</v>
      </c>
      <c r="B238" s="160" t="str">
        <f>Données!B238</f>
        <v>Jorat-Mézières</v>
      </c>
      <c r="C238" s="307">
        <f>Données!C238</f>
        <v>3209</v>
      </c>
      <c r="D238" s="303">
        <f t="shared" si="51"/>
        <v>1000</v>
      </c>
      <c r="E238" s="303">
        <f t="shared" si="56"/>
        <v>2000</v>
      </c>
      <c r="F238" s="308">
        <f t="shared" si="63"/>
        <v>209</v>
      </c>
      <c r="G238" s="302">
        <f t="shared" si="63"/>
        <v>0</v>
      </c>
      <c r="H238" s="303">
        <f t="shared" si="63"/>
        <v>0</v>
      </c>
      <c r="I238" s="308">
        <f t="shared" si="63"/>
        <v>0</v>
      </c>
      <c r="J238" s="309">
        <f t="shared" si="52"/>
        <v>0</v>
      </c>
      <c r="K238" s="302"/>
      <c r="L238" s="303">
        <f t="shared" si="53"/>
        <v>-1018955.2423343225</v>
      </c>
      <c r="M238" s="308">
        <f t="shared" si="57"/>
        <v>1917693.5456044136</v>
      </c>
      <c r="N238" s="310">
        <f t="shared" si="54"/>
        <v>898738.30327009107</v>
      </c>
      <c r="O238" s="302"/>
      <c r="P238" s="311" t="str">
        <f>Données!AC238</f>
        <v/>
      </c>
      <c r="Q238" s="307" t="str">
        <f>Données!AD238</f>
        <v/>
      </c>
      <c r="R238" s="302">
        <f t="shared" si="58"/>
        <v>0</v>
      </c>
      <c r="S238" s="308">
        <f t="shared" si="59"/>
        <v>0</v>
      </c>
      <c r="T238" s="302">
        <f t="shared" si="60"/>
        <v>324611.94973039289</v>
      </c>
      <c r="U238" s="312">
        <f t="shared" si="55"/>
        <v>324611.94973039289</v>
      </c>
    </row>
    <row r="239" spans="1:21" x14ac:dyDescent="0.25">
      <c r="A239" s="159">
        <f>Données!A239</f>
        <v>5812</v>
      </c>
      <c r="B239" s="160" t="str">
        <f>Données!B239</f>
        <v>Champtauroz</v>
      </c>
      <c r="C239" s="307">
        <f>Données!C239</f>
        <v>184</v>
      </c>
      <c r="D239" s="303">
        <f t="shared" si="51"/>
        <v>184</v>
      </c>
      <c r="E239" s="303">
        <f t="shared" si="56"/>
        <v>0</v>
      </c>
      <c r="F239" s="308">
        <f t="shared" ref="F239:I248" si="64">IF($C239&lt;F$4,0,IF($C239&gt;F$5,F$5-F$4,$C239-F$4))</f>
        <v>0</v>
      </c>
      <c r="G239" s="302">
        <f t="shared" si="64"/>
        <v>0</v>
      </c>
      <c r="H239" s="303">
        <f t="shared" si="64"/>
        <v>0</v>
      </c>
      <c r="I239" s="308">
        <f t="shared" si="64"/>
        <v>0</v>
      </c>
      <c r="J239" s="309">
        <f t="shared" si="52"/>
        <v>0</v>
      </c>
      <c r="K239" s="302"/>
      <c r="L239" s="303">
        <f t="shared" si="53"/>
        <v>-24524.233432245299</v>
      </c>
      <c r="M239" s="308">
        <f t="shared" si="57"/>
        <v>109958.12165509882</v>
      </c>
      <c r="N239" s="310">
        <f t="shared" si="54"/>
        <v>85433.888222853522</v>
      </c>
      <c r="O239" s="302"/>
      <c r="P239" s="311" t="str">
        <f>Données!AC239</f>
        <v/>
      </c>
      <c r="Q239" s="307" t="str">
        <f>Données!AD239</f>
        <v/>
      </c>
      <c r="R239" s="302">
        <f t="shared" si="58"/>
        <v>0</v>
      </c>
      <c r="S239" s="308">
        <f t="shared" si="59"/>
        <v>0</v>
      </c>
      <c r="T239" s="302">
        <f t="shared" si="60"/>
        <v>18612.838501212929</v>
      </c>
      <c r="U239" s="312">
        <f t="shared" si="55"/>
        <v>18612.838501212929</v>
      </c>
    </row>
    <row r="240" spans="1:21" x14ac:dyDescent="0.25">
      <c r="A240" s="159">
        <f>Données!A240</f>
        <v>5813</v>
      </c>
      <c r="B240" s="160" t="str">
        <f>Données!B240</f>
        <v>Chevroux</v>
      </c>
      <c r="C240" s="307">
        <f>Données!C240</f>
        <v>487</v>
      </c>
      <c r="D240" s="303">
        <f t="shared" si="51"/>
        <v>487</v>
      </c>
      <c r="E240" s="303">
        <f t="shared" si="56"/>
        <v>0</v>
      </c>
      <c r="F240" s="308">
        <f t="shared" si="64"/>
        <v>0</v>
      </c>
      <c r="G240" s="302">
        <f t="shared" si="64"/>
        <v>0</v>
      </c>
      <c r="H240" s="303">
        <f t="shared" si="64"/>
        <v>0</v>
      </c>
      <c r="I240" s="308">
        <f t="shared" si="64"/>
        <v>0</v>
      </c>
      <c r="J240" s="309">
        <f t="shared" si="52"/>
        <v>0</v>
      </c>
      <c r="K240" s="302"/>
      <c r="L240" s="303">
        <f t="shared" si="53"/>
        <v>-64909.248269040552</v>
      </c>
      <c r="M240" s="308">
        <f t="shared" si="57"/>
        <v>291030.46329365828</v>
      </c>
      <c r="N240" s="310">
        <f t="shared" si="54"/>
        <v>226121.21502461773</v>
      </c>
      <c r="O240" s="302"/>
      <c r="P240" s="311" t="str">
        <f>Données!AC240</f>
        <v/>
      </c>
      <c r="Q240" s="307" t="str">
        <f>Données!AD240</f>
        <v/>
      </c>
      <c r="R240" s="302">
        <f t="shared" si="58"/>
        <v>0</v>
      </c>
      <c r="S240" s="308">
        <f t="shared" si="59"/>
        <v>0</v>
      </c>
      <c r="T240" s="302">
        <f t="shared" si="60"/>
        <v>49263.327989623358</v>
      </c>
      <c r="U240" s="312">
        <f t="shared" si="55"/>
        <v>49263.327989623358</v>
      </c>
    </row>
    <row r="241" spans="1:21" x14ac:dyDescent="0.25">
      <c r="A241" s="159">
        <f>Données!A241</f>
        <v>5816</v>
      </c>
      <c r="B241" s="160" t="str">
        <f>Données!B241</f>
        <v>Corcelles-près-Payerne</v>
      </c>
      <c r="C241" s="307">
        <f>Données!C241</f>
        <v>3129</v>
      </c>
      <c r="D241" s="303">
        <f t="shared" si="51"/>
        <v>1000</v>
      </c>
      <c r="E241" s="303">
        <f t="shared" si="56"/>
        <v>2000</v>
      </c>
      <c r="F241" s="308">
        <f t="shared" si="64"/>
        <v>129</v>
      </c>
      <c r="G241" s="302">
        <f t="shared" si="64"/>
        <v>0</v>
      </c>
      <c r="H241" s="303">
        <f t="shared" si="64"/>
        <v>0</v>
      </c>
      <c r="I241" s="308">
        <f t="shared" si="64"/>
        <v>0</v>
      </c>
      <c r="J241" s="309">
        <f t="shared" si="52"/>
        <v>0</v>
      </c>
      <c r="K241" s="302"/>
      <c r="L241" s="303">
        <f t="shared" si="53"/>
        <v>-965641.69139465876</v>
      </c>
      <c r="M241" s="308">
        <f t="shared" si="57"/>
        <v>1869885.6666239358</v>
      </c>
      <c r="N241" s="310">
        <f t="shared" si="54"/>
        <v>904243.97522927704</v>
      </c>
      <c r="O241" s="302"/>
      <c r="P241" s="311" t="str">
        <f>Données!AC241</f>
        <v/>
      </c>
      <c r="Q241" s="307" t="str">
        <f>Données!AD241</f>
        <v/>
      </c>
      <c r="R241" s="302">
        <f t="shared" si="58"/>
        <v>0</v>
      </c>
      <c r="S241" s="308">
        <f t="shared" si="59"/>
        <v>0</v>
      </c>
      <c r="T241" s="302">
        <f t="shared" si="60"/>
        <v>316519.41125160467</v>
      </c>
      <c r="U241" s="312">
        <f t="shared" si="55"/>
        <v>316519.41125160467</v>
      </c>
    </row>
    <row r="242" spans="1:21" x14ac:dyDescent="0.25">
      <c r="A242" s="159">
        <f>Données!A242</f>
        <v>5817</v>
      </c>
      <c r="B242" s="160" t="str">
        <f>Données!B242</f>
        <v>Grandcour</v>
      </c>
      <c r="C242" s="307">
        <f>Données!C242</f>
        <v>970</v>
      </c>
      <c r="D242" s="303">
        <f t="shared" si="51"/>
        <v>970</v>
      </c>
      <c r="E242" s="303">
        <f t="shared" si="56"/>
        <v>0</v>
      </c>
      <c r="F242" s="308">
        <f t="shared" si="64"/>
        <v>0</v>
      </c>
      <c r="G242" s="302">
        <f t="shared" si="64"/>
        <v>0</v>
      </c>
      <c r="H242" s="303">
        <f t="shared" si="64"/>
        <v>0</v>
      </c>
      <c r="I242" s="308">
        <f t="shared" si="64"/>
        <v>0</v>
      </c>
      <c r="J242" s="309">
        <f t="shared" si="52"/>
        <v>0</v>
      </c>
      <c r="K242" s="302"/>
      <c r="L242" s="303">
        <f t="shared" si="53"/>
        <v>-129285.36102868446</v>
      </c>
      <c r="M242" s="308">
        <f t="shared" si="57"/>
        <v>579670.53263829264</v>
      </c>
      <c r="N242" s="310">
        <f t="shared" si="54"/>
        <v>450385.17160960817</v>
      </c>
      <c r="O242" s="302"/>
      <c r="P242" s="311" t="str">
        <f>Données!AC242</f>
        <v/>
      </c>
      <c r="Q242" s="307" t="str">
        <f>Données!AD242</f>
        <v/>
      </c>
      <c r="R242" s="302">
        <f t="shared" si="58"/>
        <v>0</v>
      </c>
      <c r="S242" s="308">
        <f t="shared" si="59"/>
        <v>0</v>
      </c>
      <c r="T242" s="302">
        <f t="shared" si="60"/>
        <v>98122.029055307299</v>
      </c>
      <c r="U242" s="312">
        <f t="shared" si="55"/>
        <v>98122.029055307299</v>
      </c>
    </row>
    <row r="243" spans="1:21" x14ac:dyDescent="0.25">
      <c r="A243" s="159">
        <f>Données!A243</f>
        <v>5819</v>
      </c>
      <c r="B243" s="160" t="str">
        <f>Données!B243</f>
        <v>Henniez</v>
      </c>
      <c r="C243" s="307">
        <f>Données!C243</f>
        <v>464</v>
      </c>
      <c r="D243" s="303">
        <f t="shared" si="51"/>
        <v>464</v>
      </c>
      <c r="E243" s="303">
        <f t="shared" si="56"/>
        <v>0</v>
      </c>
      <c r="F243" s="308">
        <f t="shared" si="64"/>
        <v>0</v>
      </c>
      <c r="G243" s="302">
        <f t="shared" si="64"/>
        <v>0</v>
      </c>
      <c r="H243" s="303">
        <f t="shared" si="64"/>
        <v>0</v>
      </c>
      <c r="I243" s="308">
        <f t="shared" si="64"/>
        <v>0</v>
      </c>
      <c r="J243" s="309">
        <f t="shared" si="52"/>
        <v>0</v>
      </c>
      <c r="K243" s="302"/>
      <c r="L243" s="303">
        <f t="shared" si="53"/>
        <v>-61843.719090009887</v>
      </c>
      <c r="M243" s="308">
        <f t="shared" si="57"/>
        <v>277285.69808677089</v>
      </c>
      <c r="N243" s="310">
        <f t="shared" si="54"/>
        <v>215441.978996761</v>
      </c>
      <c r="O243" s="302"/>
      <c r="P243" s="311" t="str">
        <f>Données!AC243</f>
        <v/>
      </c>
      <c r="Q243" s="307" t="str">
        <f>Données!AD243</f>
        <v/>
      </c>
      <c r="R243" s="302">
        <f t="shared" si="58"/>
        <v>0</v>
      </c>
      <c r="S243" s="308">
        <f t="shared" si="59"/>
        <v>0</v>
      </c>
      <c r="T243" s="302">
        <f t="shared" si="60"/>
        <v>46936.72317697174</v>
      </c>
      <c r="U243" s="312">
        <f t="shared" si="55"/>
        <v>46936.72317697174</v>
      </c>
    </row>
    <row r="244" spans="1:21" x14ac:dyDescent="0.25">
      <c r="A244" s="159">
        <f>Données!A244</f>
        <v>5821</v>
      </c>
      <c r="B244" s="160" t="str">
        <f>Données!B244</f>
        <v>Missy</v>
      </c>
      <c r="C244" s="307">
        <f>Données!C244</f>
        <v>379</v>
      </c>
      <c r="D244" s="303">
        <f t="shared" si="51"/>
        <v>379</v>
      </c>
      <c r="E244" s="303">
        <f t="shared" si="56"/>
        <v>0</v>
      </c>
      <c r="F244" s="308">
        <f t="shared" si="64"/>
        <v>0</v>
      </c>
      <c r="G244" s="302">
        <f t="shared" si="64"/>
        <v>0</v>
      </c>
      <c r="H244" s="303">
        <f t="shared" si="64"/>
        <v>0</v>
      </c>
      <c r="I244" s="308">
        <f t="shared" si="64"/>
        <v>0</v>
      </c>
      <c r="J244" s="309">
        <f t="shared" si="52"/>
        <v>0</v>
      </c>
      <c r="K244" s="302"/>
      <c r="L244" s="303">
        <f t="shared" si="53"/>
        <v>-50514.589515331354</v>
      </c>
      <c r="M244" s="308">
        <f t="shared" si="57"/>
        <v>226489.82667001331</v>
      </c>
      <c r="N244" s="310">
        <f t="shared" si="54"/>
        <v>175975.23715468196</v>
      </c>
      <c r="O244" s="302"/>
      <c r="P244" s="311" t="str">
        <f>Données!AC244</f>
        <v/>
      </c>
      <c r="Q244" s="307" t="str">
        <f>Données!AD244</f>
        <v/>
      </c>
      <c r="R244" s="302">
        <f t="shared" si="58"/>
        <v>0</v>
      </c>
      <c r="S244" s="308">
        <f t="shared" si="59"/>
        <v>0</v>
      </c>
      <c r="T244" s="302">
        <f t="shared" si="60"/>
        <v>38338.40104325924</v>
      </c>
      <c r="U244" s="312">
        <f t="shared" si="55"/>
        <v>38338.40104325924</v>
      </c>
    </row>
    <row r="245" spans="1:21" x14ac:dyDescent="0.25">
      <c r="A245" s="159">
        <f>Données!A245</f>
        <v>5822</v>
      </c>
      <c r="B245" s="160" t="str">
        <f>Données!B245</f>
        <v>Payerne</v>
      </c>
      <c r="C245" s="307">
        <f>Données!C245</f>
        <v>10972</v>
      </c>
      <c r="D245" s="303">
        <f t="shared" si="51"/>
        <v>1000</v>
      </c>
      <c r="E245" s="303">
        <f t="shared" si="56"/>
        <v>2000</v>
      </c>
      <c r="F245" s="308">
        <f t="shared" si="64"/>
        <v>7972</v>
      </c>
      <c r="G245" s="302">
        <f t="shared" si="64"/>
        <v>0</v>
      </c>
      <c r="H245" s="303">
        <f t="shared" si="64"/>
        <v>0</v>
      </c>
      <c r="I245" s="308">
        <f t="shared" si="64"/>
        <v>0</v>
      </c>
      <c r="J245" s="309">
        <f t="shared" si="52"/>
        <v>0</v>
      </c>
      <c r="K245" s="302"/>
      <c r="L245" s="303">
        <f t="shared" si="53"/>
        <v>-6192368.9416419389</v>
      </c>
      <c r="M245" s="308">
        <f t="shared" si="57"/>
        <v>6556850.6021725228</v>
      </c>
      <c r="N245" s="310">
        <f t="shared" si="54"/>
        <v>364481.66053058393</v>
      </c>
      <c r="O245" s="302"/>
      <c r="P245" s="311">
        <f>Données!AC245</f>
        <v>643891</v>
      </c>
      <c r="Q245" s="307">
        <f>Données!AD245</f>
        <v>0</v>
      </c>
      <c r="R245" s="302">
        <f t="shared" si="58"/>
        <v>643891</v>
      </c>
      <c r="S245" s="308">
        <f t="shared" si="59"/>
        <v>-386334.6</v>
      </c>
      <c r="T245" s="302">
        <f t="shared" si="60"/>
        <v>1109891.6523658058</v>
      </c>
      <c r="U245" s="312">
        <f t="shared" si="55"/>
        <v>723557.05236580584</v>
      </c>
    </row>
    <row r="246" spans="1:21" x14ac:dyDescent="0.25">
      <c r="A246" s="159">
        <f>Données!A246</f>
        <v>5827</v>
      </c>
      <c r="B246" s="160" t="str">
        <f>Données!B246</f>
        <v>Trey</v>
      </c>
      <c r="C246" s="307">
        <f>Données!C246</f>
        <v>305</v>
      </c>
      <c r="D246" s="303">
        <f t="shared" si="51"/>
        <v>305</v>
      </c>
      <c r="E246" s="303">
        <f t="shared" si="56"/>
        <v>0</v>
      </c>
      <c r="F246" s="308">
        <f t="shared" si="64"/>
        <v>0</v>
      </c>
      <c r="G246" s="302">
        <f t="shared" si="64"/>
        <v>0</v>
      </c>
      <c r="H246" s="303">
        <f t="shared" si="64"/>
        <v>0</v>
      </c>
      <c r="I246" s="308">
        <f t="shared" si="64"/>
        <v>0</v>
      </c>
      <c r="J246" s="309">
        <f t="shared" si="52"/>
        <v>0</v>
      </c>
      <c r="K246" s="302"/>
      <c r="L246" s="303">
        <f t="shared" si="53"/>
        <v>-40651.58259149357</v>
      </c>
      <c r="M246" s="308">
        <f t="shared" si="57"/>
        <v>182267.5386130714</v>
      </c>
      <c r="N246" s="310">
        <f t="shared" si="54"/>
        <v>141615.95602157782</v>
      </c>
      <c r="O246" s="302"/>
      <c r="P246" s="311" t="str">
        <f>Données!AC246</f>
        <v/>
      </c>
      <c r="Q246" s="307" t="str">
        <f>Données!AD246</f>
        <v/>
      </c>
      <c r="R246" s="302">
        <f t="shared" si="58"/>
        <v>0</v>
      </c>
      <c r="S246" s="308">
        <f t="shared" si="59"/>
        <v>0</v>
      </c>
      <c r="T246" s="302">
        <f t="shared" si="60"/>
        <v>30852.80295038013</v>
      </c>
      <c r="U246" s="312">
        <f t="shared" si="55"/>
        <v>30852.80295038013</v>
      </c>
    </row>
    <row r="247" spans="1:21" x14ac:dyDescent="0.25">
      <c r="A247" s="159">
        <f>Données!A247</f>
        <v>5828</v>
      </c>
      <c r="B247" s="160" t="str">
        <f>Données!B247</f>
        <v>Treytorrens (Payerne)</v>
      </c>
      <c r="C247" s="307">
        <f>Données!C247</f>
        <v>108</v>
      </c>
      <c r="D247" s="303">
        <f t="shared" si="51"/>
        <v>108</v>
      </c>
      <c r="E247" s="303">
        <f t="shared" si="56"/>
        <v>0</v>
      </c>
      <c r="F247" s="308">
        <f t="shared" si="64"/>
        <v>0</v>
      </c>
      <c r="G247" s="302">
        <f t="shared" si="64"/>
        <v>0</v>
      </c>
      <c r="H247" s="303">
        <f t="shared" si="64"/>
        <v>0</v>
      </c>
      <c r="I247" s="308">
        <f t="shared" si="64"/>
        <v>0</v>
      </c>
      <c r="J247" s="309">
        <f t="shared" si="52"/>
        <v>0</v>
      </c>
      <c r="K247" s="302"/>
      <c r="L247" s="303">
        <f t="shared" si="53"/>
        <v>-14394.658753709198</v>
      </c>
      <c r="M247" s="308">
        <f t="shared" si="57"/>
        <v>64540.636623644954</v>
      </c>
      <c r="N247" s="310">
        <f t="shared" si="54"/>
        <v>50145.977869935756</v>
      </c>
      <c r="O247" s="302"/>
      <c r="P247" s="311" t="str">
        <f>Données!AC247</f>
        <v/>
      </c>
      <c r="Q247" s="307" t="str">
        <f>Données!AD247</f>
        <v/>
      </c>
      <c r="R247" s="302">
        <f t="shared" si="58"/>
        <v>0</v>
      </c>
      <c r="S247" s="308">
        <f t="shared" si="59"/>
        <v>0</v>
      </c>
      <c r="T247" s="302">
        <f t="shared" si="60"/>
        <v>10924.926946364112</v>
      </c>
      <c r="U247" s="312">
        <f t="shared" si="55"/>
        <v>10924.926946364112</v>
      </c>
    </row>
    <row r="248" spans="1:21" x14ac:dyDescent="0.25">
      <c r="A248" s="159">
        <f>Données!A248</f>
        <v>5830</v>
      </c>
      <c r="B248" s="160" t="str">
        <f>Données!B248</f>
        <v>Villarzel</v>
      </c>
      <c r="C248" s="307">
        <f>Données!C248</f>
        <v>522</v>
      </c>
      <c r="D248" s="303">
        <f t="shared" si="51"/>
        <v>522</v>
      </c>
      <c r="E248" s="303">
        <f t="shared" si="56"/>
        <v>0</v>
      </c>
      <c r="F248" s="308">
        <f t="shared" si="64"/>
        <v>0</v>
      </c>
      <c r="G248" s="302">
        <f t="shared" si="64"/>
        <v>0</v>
      </c>
      <c r="H248" s="303">
        <f t="shared" si="64"/>
        <v>0</v>
      </c>
      <c r="I248" s="308">
        <f t="shared" si="64"/>
        <v>0</v>
      </c>
      <c r="J248" s="309">
        <f t="shared" si="52"/>
        <v>0</v>
      </c>
      <c r="K248" s="302"/>
      <c r="L248" s="303">
        <f t="shared" si="53"/>
        <v>-69574.18397626112</v>
      </c>
      <c r="M248" s="308">
        <f t="shared" si="57"/>
        <v>311946.41034761729</v>
      </c>
      <c r="N248" s="310">
        <f t="shared" si="54"/>
        <v>242372.22637135617</v>
      </c>
      <c r="O248" s="302"/>
      <c r="P248" s="311" t="str">
        <f>Données!AC248</f>
        <v/>
      </c>
      <c r="Q248" s="307" t="str">
        <f>Données!AD248</f>
        <v/>
      </c>
      <c r="R248" s="302">
        <f t="shared" si="58"/>
        <v>0</v>
      </c>
      <c r="S248" s="308">
        <f t="shared" si="59"/>
        <v>0</v>
      </c>
      <c r="T248" s="302">
        <f t="shared" si="60"/>
        <v>52803.813574093205</v>
      </c>
      <c r="U248" s="312">
        <f t="shared" si="55"/>
        <v>52803.813574093205</v>
      </c>
    </row>
    <row r="249" spans="1:21" x14ac:dyDescent="0.25">
      <c r="A249" s="159">
        <f>Données!A249</f>
        <v>5831</v>
      </c>
      <c r="B249" s="160" t="str">
        <f>Données!B249</f>
        <v>Valbroye</v>
      </c>
      <c r="C249" s="307">
        <f>Données!C249</f>
        <v>3416</v>
      </c>
      <c r="D249" s="303">
        <f t="shared" si="51"/>
        <v>1000</v>
      </c>
      <c r="E249" s="303">
        <f t="shared" si="56"/>
        <v>2000</v>
      </c>
      <c r="F249" s="308">
        <f t="shared" ref="F249:I258" si="65">IF($C249&lt;F$4,0,IF($C249&gt;F$5,F$5-F$4,$C249-F$4))</f>
        <v>416</v>
      </c>
      <c r="G249" s="302">
        <f t="shared" si="65"/>
        <v>0</v>
      </c>
      <c r="H249" s="303">
        <f t="shared" si="65"/>
        <v>0</v>
      </c>
      <c r="I249" s="308">
        <f t="shared" si="65"/>
        <v>0</v>
      </c>
      <c r="J249" s="309">
        <f t="shared" si="52"/>
        <v>0</v>
      </c>
      <c r="K249" s="302"/>
      <c r="L249" s="303">
        <f t="shared" si="53"/>
        <v>-1156904.0553907023</v>
      </c>
      <c r="M249" s="308">
        <f t="shared" si="57"/>
        <v>2041396.4324663996</v>
      </c>
      <c r="N249" s="310">
        <f t="shared" si="54"/>
        <v>884492.3770756973</v>
      </c>
      <c r="O249" s="302"/>
      <c r="P249" s="311" t="str">
        <f>Données!AC249</f>
        <v/>
      </c>
      <c r="Q249" s="307" t="str">
        <f>Données!AD249</f>
        <v/>
      </c>
      <c r="R249" s="302">
        <f t="shared" si="58"/>
        <v>0</v>
      </c>
      <c r="S249" s="308">
        <f t="shared" si="59"/>
        <v>0</v>
      </c>
      <c r="T249" s="302">
        <f t="shared" si="60"/>
        <v>345551.39304425748</v>
      </c>
      <c r="U249" s="312">
        <f t="shared" si="55"/>
        <v>345551.39304425748</v>
      </c>
    </row>
    <row r="250" spans="1:21" x14ac:dyDescent="0.25">
      <c r="A250" s="159">
        <f>Données!A250</f>
        <v>5841</v>
      </c>
      <c r="B250" s="160" t="str">
        <f>Données!B250</f>
        <v>Château-d'Oex</v>
      </c>
      <c r="C250" s="307">
        <f>Données!C250</f>
        <v>3689</v>
      </c>
      <c r="D250" s="303">
        <f t="shared" si="51"/>
        <v>1000</v>
      </c>
      <c r="E250" s="303">
        <f t="shared" si="56"/>
        <v>2000</v>
      </c>
      <c r="F250" s="308">
        <f t="shared" si="65"/>
        <v>689</v>
      </c>
      <c r="G250" s="302">
        <f t="shared" si="65"/>
        <v>0</v>
      </c>
      <c r="H250" s="303">
        <f t="shared" si="65"/>
        <v>0</v>
      </c>
      <c r="I250" s="308">
        <f t="shared" si="65"/>
        <v>0</v>
      </c>
      <c r="J250" s="309">
        <f t="shared" si="52"/>
        <v>0</v>
      </c>
      <c r="K250" s="302"/>
      <c r="L250" s="303">
        <f t="shared" si="53"/>
        <v>-1338836.5479723047</v>
      </c>
      <c r="M250" s="308">
        <f t="shared" si="57"/>
        <v>2204540.8194872802</v>
      </c>
      <c r="N250" s="310">
        <f t="shared" si="54"/>
        <v>865704.27151497547</v>
      </c>
      <c r="O250" s="302"/>
      <c r="P250" s="311" t="str">
        <f>Données!AC250</f>
        <v/>
      </c>
      <c r="Q250" s="307" t="str">
        <f>Données!AD250</f>
        <v/>
      </c>
      <c r="R250" s="302">
        <f t="shared" si="58"/>
        <v>0</v>
      </c>
      <c r="S250" s="308">
        <f t="shared" si="59"/>
        <v>0</v>
      </c>
      <c r="T250" s="302">
        <f t="shared" si="60"/>
        <v>373167.18060312228</v>
      </c>
      <c r="U250" s="312">
        <f t="shared" si="55"/>
        <v>373167.18060312228</v>
      </c>
    </row>
    <row r="251" spans="1:21" x14ac:dyDescent="0.25">
      <c r="A251" s="159">
        <f>Données!A251</f>
        <v>5842</v>
      </c>
      <c r="B251" s="160" t="str">
        <f>Données!B251</f>
        <v>Rossinière</v>
      </c>
      <c r="C251" s="307">
        <f>Données!C251</f>
        <v>504</v>
      </c>
      <c r="D251" s="303">
        <f t="shared" si="51"/>
        <v>504</v>
      </c>
      <c r="E251" s="303">
        <f t="shared" si="56"/>
        <v>0</v>
      </c>
      <c r="F251" s="308">
        <f t="shared" si="65"/>
        <v>0</v>
      </c>
      <c r="G251" s="302">
        <f t="shared" si="65"/>
        <v>0</v>
      </c>
      <c r="H251" s="303">
        <f t="shared" si="65"/>
        <v>0</v>
      </c>
      <c r="I251" s="308">
        <f t="shared" si="65"/>
        <v>0</v>
      </c>
      <c r="J251" s="309">
        <f t="shared" si="52"/>
        <v>0</v>
      </c>
      <c r="K251" s="302"/>
      <c r="L251" s="303">
        <f t="shared" si="53"/>
        <v>-67175.074183976263</v>
      </c>
      <c r="M251" s="308">
        <f t="shared" si="57"/>
        <v>301189.63757700979</v>
      </c>
      <c r="N251" s="310">
        <f t="shared" si="54"/>
        <v>234014.56339303352</v>
      </c>
      <c r="O251" s="302"/>
      <c r="P251" s="311" t="str">
        <f>Données!AC251</f>
        <v/>
      </c>
      <c r="Q251" s="307" t="str">
        <f>Données!AD251</f>
        <v/>
      </c>
      <c r="R251" s="302">
        <f t="shared" si="58"/>
        <v>0</v>
      </c>
      <c r="S251" s="308">
        <f t="shared" si="59"/>
        <v>0</v>
      </c>
      <c r="T251" s="302">
        <f t="shared" si="60"/>
        <v>50982.992416365851</v>
      </c>
      <c r="U251" s="312">
        <f t="shared" si="55"/>
        <v>50982.992416365851</v>
      </c>
    </row>
    <row r="252" spans="1:21" x14ac:dyDescent="0.25">
      <c r="A252" s="159">
        <f>Données!A252</f>
        <v>5843</v>
      </c>
      <c r="B252" s="160" t="str">
        <f>Données!B252</f>
        <v>Rougemont</v>
      </c>
      <c r="C252" s="307">
        <f>Données!C252</f>
        <v>805</v>
      </c>
      <c r="D252" s="303">
        <f t="shared" si="51"/>
        <v>805</v>
      </c>
      <c r="E252" s="303">
        <f t="shared" si="56"/>
        <v>0</v>
      </c>
      <c r="F252" s="308">
        <f t="shared" si="65"/>
        <v>0</v>
      </c>
      <c r="G252" s="302">
        <f t="shared" si="65"/>
        <v>0</v>
      </c>
      <c r="H252" s="303">
        <f t="shared" si="65"/>
        <v>0</v>
      </c>
      <c r="I252" s="308">
        <f t="shared" si="65"/>
        <v>0</v>
      </c>
      <c r="J252" s="309">
        <f t="shared" si="52"/>
        <v>0</v>
      </c>
      <c r="K252" s="302"/>
      <c r="L252" s="303">
        <f t="shared" si="53"/>
        <v>-107293.52126607319</v>
      </c>
      <c r="M252" s="308">
        <f t="shared" si="57"/>
        <v>481066.78224105731</v>
      </c>
      <c r="N252" s="310">
        <f t="shared" si="54"/>
        <v>373773.26097498415</v>
      </c>
      <c r="O252" s="302"/>
      <c r="P252" s="311" t="str">
        <f>Données!AC252</f>
        <v/>
      </c>
      <c r="Q252" s="307" t="str">
        <f>Données!AD252</f>
        <v/>
      </c>
      <c r="R252" s="302">
        <f t="shared" si="58"/>
        <v>0</v>
      </c>
      <c r="S252" s="308">
        <f t="shared" si="59"/>
        <v>0</v>
      </c>
      <c r="T252" s="302">
        <f t="shared" si="60"/>
        <v>81431.168442806578</v>
      </c>
      <c r="U252" s="312">
        <f t="shared" si="55"/>
        <v>81431.168442806578</v>
      </c>
    </row>
    <row r="253" spans="1:21" x14ac:dyDescent="0.25">
      <c r="A253" s="159">
        <f>Données!A253</f>
        <v>5851</v>
      </c>
      <c r="B253" s="160" t="str">
        <f>Données!B253</f>
        <v>Allaman</v>
      </c>
      <c r="C253" s="307">
        <f>Données!C253</f>
        <v>412</v>
      </c>
      <c r="D253" s="303">
        <f t="shared" si="51"/>
        <v>412</v>
      </c>
      <c r="E253" s="303">
        <f t="shared" si="56"/>
        <v>0</v>
      </c>
      <c r="F253" s="308">
        <f t="shared" si="65"/>
        <v>0</v>
      </c>
      <c r="G253" s="302">
        <f t="shared" si="65"/>
        <v>0</v>
      </c>
      <c r="H253" s="303">
        <f t="shared" si="65"/>
        <v>0</v>
      </c>
      <c r="I253" s="308">
        <f t="shared" si="65"/>
        <v>0</v>
      </c>
      <c r="J253" s="309">
        <f t="shared" si="52"/>
        <v>0</v>
      </c>
      <c r="K253" s="302"/>
      <c r="L253" s="303">
        <f t="shared" si="53"/>
        <v>-54912.957467853608</v>
      </c>
      <c r="M253" s="308">
        <f t="shared" si="57"/>
        <v>246210.57674946039</v>
      </c>
      <c r="N253" s="310">
        <f t="shared" si="54"/>
        <v>191297.61928160678</v>
      </c>
      <c r="O253" s="302"/>
      <c r="P253" s="311" t="str">
        <f>Données!AC253</f>
        <v/>
      </c>
      <c r="Q253" s="307" t="str">
        <f>Données!AD253</f>
        <v/>
      </c>
      <c r="R253" s="302">
        <f t="shared" si="58"/>
        <v>0</v>
      </c>
      <c r="S253" s="308">
        <f t="shared" si="59"/>
        <v>0</v>
      </c>
      <c r="T253" s="302">
        <f t="shared" si="60"/>
        <v>41676.573165759386</v>
      </c>
      <c r="U253" s="312">
        <f t="shared" si="55"/>
        <v>41676.573165759386</v>
      </c>
    </row>
    <row r="254" spans="1:21" x14ac:dyDescent="0.25">
      <c r="A254" s="159">
        <f>Données!A254</f>
        <v>5852</v>
      </c>
      <c r="B254" s="160" t="str">
        <f>Données!B254</f>
        <v>Bursinel</v>
      </c>
      <c r="C254" s="307">
        <f>Données!C254</f>
        <v>535</v>
      </c>
      <c r="D254" s="303">
        <f t="shared" si="51"/>
        <v>535</v>
      </c>
      <c r="E254" s="303">
        <f t="shared" si="56"/>
        <v>0</v>
      </c>
      <c r="F254" s="308">
        <f t="shared" si="65"/>
        <v>0</v>
      </c>
      <c r="G254" s="302">
        <f t="shared" si="65"/>
        <v>0</v>
      </c>
      <c r="H254" s="303">
        <f t="shared" si="65"/>
        <v>0</v>
      </c>
      <c r="I254" s="308">
        <f t="shared" si="65"/>
        <v>0</v>
      </c>
      <c r="J254" s="309">
        <f t="shared" si="52"/>
        <v>0</v>
      </c>
      <c r="K254" s="302"/>
      <c r="L254" s="303">
        <f t="shared" si="53"/>
        <v>-71306.874381800197</v>
      </c>
      <c r="M254" s="308">
        <f t="shared" si="57"/>
        <v>319715.19068194489</v>
      </c>
      <c r="N254" s="310">
        <f t="shared" si="54"/>
        <v>248408.31630014471</v>
      </c>
      <c r="O254" s="302"/>
      <c r="P254" s="311" t="str">
        <f>Données!AC254</f>
        <v/>
      </c>
      <c r="Q254" s="307" t="str">
        <f>Données!AD254</f>
        <v/>
      </c>
      <c r="R254" s="302">
        <f t="shared" si="58"/>
        <v>0</v>
      </c>
      <c r="S254" s="308">
        <f t="shared" si="59"/>
        <v>0</v>
      </c>
      <c r="T254" s="302">
        <f t="shared" si="60"/>
        <v>54118.851076896295</v>
      </c>
      <c r="U254" s="312">
        <f t="shared" si="55"/>
        <v>54118.851076896295</v>
      </c>
    </row>
    <row r="255" spans="1:21" x14ac:dyDescent="0.25">
      <c r="A255" s="159">
        <f>Données!A255</f>
        <v>5853</v>
      </c>
      <c r="B255" s="160" t="str">
        <f>Données!B255</f>
        <v>Bursins</v>
      </c>
      <c r="C255" s="307">
        <f>Données!C255</f>
        <v>831</v>
      </c>
      <c r="D255" s="303">
        <f t="shared" si="51"/>
        <v>831</v>
      </c>
      <c r="E255" s="303">
        <f t="shared" si="56"/>
        <v>0</v>
      </c>
      <c r="F255" s="308">
        <f t="shared" si="65"/>
        <v>0</v>
      </c>
      <c r="G255" s="302">
        <f t="shared" si="65"/>
        <v>0</v>
      </c>
      <c r="H255" s="303">
        <f t="shared" si="65"/>
        <v>0</v>
      </c>
      <c r="I255" s="308">
        <f t="shared" si="65"/>
        <v>0</v>
      </c>
      <c r="J255" s="309">
        <f t="shared" si="52"/>
        <v>0</v>
      </c>
      <c r="K255" s="302"/>
      <c r="L255" s="303">
        <f t="shared" si="53"/>
        <v>-110758.90207715133</v>
      </c>
      <c r="M255" s="308">
        <f t="shared" si="57"/>
        <v>496604.34290971258</v>
      </c>
      <c r="N255" s="310">
        <f t="shared" si="54"/>
        <v>385845.44083256123</v>
      </c>
      <c r="O255" s="302"/>
      <c r="P255" s="311" t="str">
        <f>Données!AC255</f>
        <v/>
      </c>
      <c r="Q255" s="307" t="str">
        <f>Données!AD255</f>
        <v/>
      </c>
      <c r="R255" s="302">
        <f t="shared" si="58"/>
        <v>0</v>
      </c>
      <c r="S255" s="308">
        <f t="shared" si="59"/>
        <v>0</v>
      </c>
      <c r="T255" s="302">
        <f t="shared" si="60"/>
        <v>84061.243448412744</v>
      </c>
      <c r="U255" s="312">
        <f t="shared" si="55"/>
        <v>84061.243448412744</v>
      </c>
    </row>
    <row r="256" spans="1:21" x14ac:dyDescent="0.25">
      <c r="A256" s="159">
        <f>Données!A256</f>
        <v>5854</v>
      </c>
      <c r="B256" s="160" t="str">
        <f>Données!B256</f>
        <v>Burtigny</v>
      </c>
      <c r="C256" s="307">
        <f>Données!C256</f>
        <v>406</v>
      </c>
      <c r="D256" s="303">
        <f t="shared" si="51"/>
        <v>406</v>
      </c>
      <c r="E256" s="303">
        <f t="shared" si="56"/>
        <v>0</v>
      </c>
      <c r="F256" s="308">
        <f t="shared" si="65"/>
        <v>0</v>
      </c>
      <c r="G256" s="302">
        <f t="shared" si="65"/>
        <v>0</v>
      </c>
      <c r="H256" s="303">
        <f t="shared" si="65"/>
        <v>0</v>
      </c>
      <c r="I256" s="308">
        <f t="shared" si="65"/>
        <v>0</v>
      </c>
      <c r="J256" s="309">
        <f t="shared" si="52"/>
        <v>0</v>
      </c>
      <c r="K256" s="302"/>
      <c r="L256" s="303">
        <f t="shared" si="53"/>
        <v>-54113.254203758654</v>
      </c>
      <c r="M256" s="308">
        <f t="shared" si="57"/>
        <v>242624.98582592455</v>
      </c>
      <c r="N256" s="310">
        <f t="shared" si="54"/>
        <v>188511.73162216588</v>
      </c>
      <c r="O256" s="302"/>
      <c r="P256" s="311" t="str">
        <f>Données!AC256</f>
        <v/>
      </c>
      <c r="Q256" s="307" t="str">
        <f>Données!AD256</f>
        <v/>
      </c>
      <c r="R256" s="302">
        <f t="shared" si="58"/>
        <v>0</v>
      </c>
      <c r="S256" s="308">
        <f t="shared" si="59"/>
        <v>0</v>
      </c>
      <c r="T256" s="302">
        <f t="shared" si="60"/>
        <v>41069.632779850268</v>
      </c>
      <c r="U256" s="312">
        <f t="shared" si="55"/>
        <v>41069.632779850268</v>
      </c>
    </row>
    <row r="257" spans="1:21" x14ac:dyDescent="0.25">
      <c r="A257" s="159">
        <f>Données!A257</f>
        <v>5855</v>
      </c>
      <c r="B257" s="160" t="str">
        <f>Données!B257</f>
        <v>Dully</v>
      </c>
      <c r="C257" s="307">
        <f>Données!C257</f>
        <v>637</v>
      </c>
      <c r="D257" s="303">
        <f t="shared" si="51"/>
        <v>637</v>
      </c>
      <c r="E257" s="303">
        <f t="shared" si="56"/>
        <v>0</v>
      </c>
      <c r="F257" s="308">
        <f t="shared" si="65"/>
        <v>0</v>
      </c>
      <c r="G257" s="302">
        <f t="shared" si="65"/>
        <v>0</v>
      </c>
      <c r="H257" s="303">
        <f t="shared" si="65"/>
        <v>0</v>
      </c>
      <c r="I257" s="308">
        <f t="shared" si="65"/>
        <v>0</v>
      </c>
      <c r="J257" s="309">
        <f t="shared" si="52"/>
        <v>0</v>
      </c>
      <c r="K257" s="302"/>
      <c r="L257" s="303">
        <f t="shared" si="53"/>
        <v>-84901.829871414433</v>
      </c>
      <c r="M257" s="308">
        <f t="shared" si="57"/>
        <v>380670.23638205405</v>
      </c>
      <c r="N257" s="310">
        <f t="shared" si="54"/>
        <v>295768.40651063959</v>
      </c>
      <c r="O257" s="302"/>
      <c r="P257" s="311" t="str">
        <f>Données!AC257</f>
        <v/>
      </c>
      <c r="Q257" s="307" t="str">
        <f>Données!AD257</f>
        <v/>
      </c>
      <c r="R257" s="302">
        <f t="shared" si="58"/>
        <v>0</v>
      </c>
      <c r="S257" s="308">
        <f t="shared" si="59"/>
        <v>0</v>
      </c>
      <c r="T257" s="302">
        <f t="shared" si="60"/>
        <v>64436.837637351287</v>
      </c>
      <c r="U257" s="312">
        <f t="shared" si="55"/>
        <v>64436.837637351287</v>
      </c>
    </row>
    <row r="258" spans="1:21" x14ac:dyDescent="0.25">
      <c r="A258" s="159">
        <f>Données!A258</f>
        <v>5856</v>
      </c>
      <c r="B258" s="160" t="str">
        <f>Données!B258</f>
        <v>Essertines-sur-Rolle</v>
      </c>
      <c r="C258" s="307">
        <f>Données!C258</f>
        <v>770</v>
      </c>
      <c r="D258" s="303">
        <f t="shared" si="51"/>
        <v>770</v>
      </c>
      <c r="E258" s="303">
        <f t="shared" si="56"/>
        <v>0</v>
      </c>
      <c r="F258" s="308">
        <f t="shared" si="65"/>
        <v>0</v>
      </c>
      <c r="G258" s="302">
        <f t="shared" si="65"/>
        <v>0</v>
      </c>
      <c r="H258" s="303">
        <f t="shared" si="65"/>
        <v>0</v>
      </c>
      <c r="I258" s="308">
        <f t="shared" si="65"/>
        <v>0</v>
      </c>
      <c r="J258" s="309">
        <f t="shared" si="52"/>
        <v>0</v>
      </c>
      <c r="K258" s="302"/>
      <c r="L258" s="303">
        <f t="shared" si="53"/>
        <v>-102628.58555885262</v>
      </c>
      <c r="M258" s="308">
        <f t="shared" si="57"/>
        <v>460150.8351870983</v>
      </c>
      <c r="N258" s="310">
        <f t="shared" si="54"/>
        <v>357522.24962824571</v>
      </c>
      <c r="O258" s="302"/>
      <c r="P258" s="311" t="str">
        <f>Données!AC258</f>
        <v/>
      </c>
      <c r="Q258" s="307" t="str">
        <f>Données!AD258</f>
        <v/>
      </c>
      <c r="R258" s="302">
        <f t="shared" si="58"/>
        <v>0</v>
      </c>
      <c r="S258" s="308">
        <f t="shared" si="59"/>
        <v>0</v>
      </c>
      <c r="T258" s="302">
        <f t="shared" si="60"/>
        <v>77890.682858336717</v>
      </c>
      <c r="U258" s="312">
        <f t="shared" si="55"/>
        <v>77890.682858336717</v>
      </c>
    </row>
    <row r="259" spans="1:21" x14ac:dyDescent="0.25">
      <c r="A259" s="159">
        <f>Données!A259</f>
        <v>5857</v>
      </c>
      <c r="B259" s="160" t="str">
        <f>Données!B259</f>
        <v>Gilly</v>
      </c>
      <c r="C259" s="307">
        <f>Données!C259</f>
        <v>1429</v>
      </c>
      <c r="D259" s="303">
        <f t="shared" si="51"/>
        <v>1000</v>
      </c>
      <c r="E259" s="303">
        <f t="shared" si="56"/>
        <v>429</v>
      </c>
      <c r="F259" s="308">
        <f t="shared" ref="F259:I268" si="66">IF($C259&lt;F$4,0,IF($C259&gt;F$5,F$5-F$4,$C259-F$4))</f>
        <v>0</v>
      </c>
      <c r="G259" s="302">
        <f t="shared" si="66"/>
        <v>0</v>
      </c>
      <c r="H259" s="303">
        <f t="shared" si="66"/>
        <v>0</v>
      </c>
      <c r="I259" s="308">
        <f t="shared" si="66"/>
        <v>0</v>
      </c>
      <c r="J259" s="309">
        <f t="shared" si="52"/>
        <v>0</v>
      </c>
      <c r="K259" s="302"/>
      <c r="L259" s="303">
        <f t="shared" si="53"/>
        <v>-293384.47082096932</v>
      </c>
      <c r="M259" s="308">
        <f t="shared" si="57"/>
        <v>853968.2382887837</v>
      </c>
      <c r="N259" s="310">
        <f t="shared" si="54"/>
        <v>560583.76746781438</v>
      </c>
      <c r="O259" s="302"/>
      <c r="P259" s="311" t="str">
        <f>Données!AC259</f>
        <v/>
      </c>
      <c r="Q259" s="307" t="str">
        <f>Données!AD259</f>
        <v/>
      </c>
      <c r="R259" s="302">
        <f t="shared" si="58"/>
        <v>0</v>
      </c>
      <c r="S259" s="308">
        <f t="shared" si="59"/>
        <v>0</v>
      </c>
      <c r="T259" s="302">
        <f t="shared" si="60"/>
        <v>144552.96857735477</v>
      </c>
      <c r="U259" s="312">
        <f t="shared" si="55"/>
        <v>144552.96857735477</v>
      </c>
    </row>
    <row r="260" spans="1:21" x14ac:dyDescent="0.25">
      <c r="A260" s="159">
        <f>Données!A260</f>
        <v>5858</v>
      </c>
      <c r="B260" s="160" t="str">
        <f>Données!B260</f>
        <v>Luins</v>
      </c>
      <c r="C260" s="307">
        <f>Données!C260</f>
        <v>640</v>
      </c>
      <c r="D260" s="303">
        <f t="shared" si="51"/>
        <v>640</v>
      </c>
      <c r="E260" s="303">
        <f t="shared" si="56"/>
        <v>0</v>
      </c>
      <c r="F260" s="308">
        <f t="shared" si="66"/>
        <v>0</v>
      </c>
      <c r="G260" s="302">
        <f t="shared" si="66"/>
        <v>0</v>
      </c>
      <c r="H260" s="303">
        <f t="shared" si="66"/>
        <v>0</v>
      </c>
      <c r="I260" s="308">
        <f t="shared" si="66"/>
        <v>0</v>
      </c>
      <c r="J260" s="309">
        <f t="shared" si="52"/>
        <v>0</v>
      </c>
      <c r="K260" s="302"/>
      <c r="L260" s="303">
        <f t="shared" si="53"/>
        <v>-85301.681503461907</v>
      </c>
      <c r="M260" s="308">
        <f t="shared" si="57"/>
        <v>382463.03184382198</v>
      </c>
      <c r="N260" s="310">
        <f t="shared" si="54"/>
        <v>297161.35034036008</v>
      </c>
      <c r="O260" s="302"/>
      <c r="P260" s="311" t="str">
        <f>Données!AC260</f>
        <v/>
      </c>
      <c r="Q260" s="307" t="str">
        <f>Données!AD260</f>
        <v/>
      </c>
      <c r="R260" s="302">
        <f t="shared" si="58"/>
        <v>0</v>
      </c>
      <c r="S260" s="308">
        <f t="shared" si="59"/>
        <v>0</v>
      </c>
      <c r="T260" s="302">
        <f t="shared" si="60"/>
        <v>64740.307830305843</v>
      </c>
      <c r="U260" s="312">
        <f t="shared" si="55"/>
        <v>64740.307830305843</v>
      </c>
    </row>
    <row r="261" spans="1:21" x14ac:dyDescent="0.25">
      <c r="A261" s="159">
        <f>Données!A261</f>
        <v>5859</v>
      </c>
      <c r="B261" s="160" t="str">
        <f>Données!B261</f>
        <v>Mont-sur-Rolle</v>
      </c>
      <c r="C261" s="307">
        <f>Données!C261</f>
        <v>2759</v>
      </c>
      <c r="D261" s="303">
        <f t="shared" si="51"/>
        <v>1000</v>
      </c>
      <c r="E261" s="303">
        <f t="shared" si="56"/>
        <v>1759</v>
      </c>
      <c r="F261" s="308">
        <f t="shared" si="66"/>
        <v>0</v>
      </c>
      <c r="G261" s="302">
        <f t="shared" si="66"/>
        <v>0</v>
      </c>
      <c r="H261" s="303">
        <f t="shared" si="66"/>
        <v>0</v>
      </c>
      <c r="I261" s="308">
        <f t="shared" si="66"/>
        <v>0</v>
      </c>
      <c r="J261" s="309">
        <f t="shared" si="52"/>
        <v>0</v>
      </c>
      <c r="K261" s="302"/>
      <c r="L261" s="303">
        <f t="shared" si="53"/>
        <v>-789733.63006923837</v>
      </c>
      <c r="M261" s="308">
        <f t="shared" si="57"/>
        <v>1648774.2263392261</v>
      </c>
      <c r="N261" s="310">
        <f t="shared" si="54"/>
        <v>859040.59626998776</v>
      </c>
      <c r="O261" s="302"/>
      <c r="P261" s="311" t="str">
        <f>Données!AC261</f>
        <v/>
      </c>
      <c r="Q261" s="307" t="str">
        <f>Données!AD261</f>
        <v/>
      </c>
      <c r="R261" s="302">
        <f t="shared" si="58"/>
        <v>0</v>
      </c>
      <c r="S261" s="308">
        <f t="shared" si="59"/>
        <v>0</v>
      </c>
      <c r="T261" s="302">
        <f t="shared" si="60"/>
        <v>279091.42078720912</v>
      </c>
      <c r="U261" s="312">
        <f t="shared" si="55"/>
        <v>279091.42078720912</v>
      </c>
    </row>
    <row r="262" spans="1:21" x14ac:dyDescent="0.25">
      <c r="A262" s="159">
        <f>Données!A262</f>
        <v>5860</v>
      </c>
      <c r="B262" s="160" t="str">
        <f>Données!B262</f>
        <v>Perroy</v>
      </c>
      <c r="C262" s="307">
        <f>Données!C262</f>
        <v>1573</v>
      </c>
      <c r="D262" s="303">
        <f t="shared" si="51"/>
        <v>1000</v>
      </c>
      <c r="E262" s="303">
        <f t="shared" si="56"/>
        <v>573</v>
      </c>
      <c r="F262" s="308">
        <f t="shared" si="66"/>
        <v>0</v>
      </c>
      <c r="G262" s="302">
        <f t="shared" si="66"/>
        <v>0</v>
      </c>
      <c r="H262" s="303">
        <f t="shared" si="66"/>
        <v>0</v>
      </c>
      <c r="I262" s="308">
        <f t="shared" si="66"/>
        <v>0</v>
      </c>
      <c r="J262" s="309">
        <f t="shared" si="52"/>
        <v>0</v>
      </c>
      <c r="K262" s="302"/>
      <c r="L262" s="303">
        <f t="shared" si="53"/>
        <v>-347124.53016815032</v>
      </c>
      <c r="M262" s="308">
        <f t="shared" si="57"/>
        <v>940022.42045364366</v>
      </c>
      <c r="N262" s="310">
        <f t="shared" si="54"/>
        <v>592897.89028549334</v>
      </c>
      <c r="O262" s="302"/>
      <c r="P262" s="311" t="str">
        <f>Données!AC262</f>
        <v/>
      </c>
      <c r="Q262" s="307" t="str">
        <f>Données!AD262</f>
        <v/>
      </c>
      <c r="R262" s="302">
        <f t="shared" si="58"/>
        <v>0</v>
      </c>
      <c r="S262" s="308">
        <f t="shared" si="59"/>
        <v>0</v>
      </c>
      <c r="T262" s="302">
        <f t="shared" si="60"/>
        <v>159119.5378391736</v>
      </c>
      <c r="U262" s="312">
        <f t="shared" si="55"/>
        <v>159119.5378391736</v>
      </c>
    </row>
    <row r="263" spans="1:21" x14ac:dyDescent="0.25">
      <c r="A263" s="159">
        <f>Données!A263</f>
        <v>5861</v>
      </c>
      <c r="B263" s="160" t="str">
        <f>Données!B263</f>
        <v>Rolle</v>
      </c>
      <c r="C263" s="307">
        <f>Données!C263</f>
        <v>6604</v>
      </c>
      <c r="D263" s="303">
        <f t="shared" si="51"/>
        <v>1000</v>
      </c>
      <c r="E263" s="303">
        <f t="shared" si="56"/>
        <v>2000</v>
      </c>
      <c r="F263" s="308">
        <f t="shared" si="66"/>
        <v>3604</v>
      </c>
      <c r="G263" s="302">
        <f t="shared" si="66"/>
        <v>0</v>
      </c>
      <c r="H263" s="303">
        <f t="shared" si="66"/>
        <v>0</v>
      </c>
      <c r="I263" s="308">
        <f t="shared" si="66"/>
        <v>0</v>
      </c>
      <c r="J263" s="309">
        <f t="shared" si="52"/>
        <v>0</v>
      </c>
      <c r="K263" s="302"/>
      <c r="L263" s="303">
        <f t="shared" si="53"/>
        <v>-3281449.0603363011</v>
      </c>
      <c r="M263" s="308">
        <f t="shared" si="57"/>
        <v>3946540.4098384376</v>
      </c>
      <c r="N263" s="310">
        <f t="shared" si="54"/>
        <v>665091.34950213647</v>
      </c>
      <c r="O263" s="302"/>
      <c r="P263" s="311">
        <f>Données!AC263</f>
        <v>354569.1</v>
      </c>
      <c r="Q263" s="307">
        <f>Données!AD263</f>
        <v>24469</v>
      </c>
      <c r="R263" s="302">
        <f t="shared" si="58"/>
        <v>379038.1</v>
      </c>
      <c r="S263" s="308">
        <f t="shared" si="59"/>
        <v>-227422.86</v>
      </c>
      <c r="T263" s="302">
        <f t="shared" si="60"/>
        <v>668039.0514239684</v>
      </c>
      <c r="U263" s="312">
        <f t="shared" si="55"/>
        <v>440616.19142396841</v>
      </c>
    </row>
    <row r="264" spans="1:21" x14ac:dyDescent="0.25">
      <c r="A264" s="159">
        <f>Données!A264</f>
        <v>5862</v>
      </c>
      <c r="B264" s="160" t="str">
        <f>Données!B264</f>
        <v>Tartegnin</v>
      </c>
      <c r="C264" s="307">
        <f>Données!C264</f>
        <v>246</v>
      </c>
      <c r="D264" s="303">
        <f t="shared" ref="D264:D307" si="67">IF(C264&gt;$D$5,$D$5-$D$4,C264)</f>
        <v>246</v>
      </c>
      <c r="E264" s="303">
        <f t="shared" si="56"/>
        <v>0</v>
      </c>
      <c r="F264" s="308">
        <f t="shared" si="66"/>
        <v>0</v>
      </c>
      <c r="G264" s="302">
        <f t="shared" si="66"/>
        <v>0</v>
      </c>
      <c r="H264" s="303">
        <f t="shared" si="66"/>
        <v>0</v>
      </c>
      <c r="I264" s="308">
        <f t="shared" si="66"/>
        <v>0</v>
      </c>
      <c r="J264" s="309">
        <f t="shared" ref="J264:J307" si="68">IF($C264&lt;J$4,0,$C264-J$4)</f>
        <v>0</v>
      </c>
      <c r="K264" s="302"/>
      <c r="L264" s="303">
        <f t="shared" ref="L264:L307" si="69">-SUMPRODUCT($D$6:$J$6,D264:J264)</f>
        <v>-32787.83382789317</v>
      </c>
      <c r="M264" s="308">
        <f t="shared" si="57"/>
        <v>147009.22786496906</v>
      </c>
      <c r="N264" s="310">
        <f t="shared" ref="N264:N307" si="70">SUM(L264:M264)</f>
        <v>114221.39403707589</v>
      </c>
      <c r="O264" s="302"/>
      <c r="P264" s="311" t="str">
        <f>Données!AC264</f>
        <v/>
      </c>
      <c r="Q264" s="307" t="str">
        <f>Données!AD264</f>
        <v/>
      </c>
      <c r="R264" s="302">
        <f t="shared" si="58"/>
        <v>0</v>
      </c>
      <c r="S264" s="308">
        <f t="shared" si="59"/>
        <v>0</v>
      </c>
      <c r="T264" s="302">
        <f t="shared" si="60"/>
        <v>24884.555822273811</v>
      </c>
      <c r="U264" s="312">
        <f t="shared" ref="U264:U308" si="71">S264+T264</f>
        <v>24884.555822273811</v>
      </c>
    </row>
    <row r="265" spans="1:21" x14ac:dyDescent="0.25">
      <c r="A265" s="159">
        <f>Données!A265</f>
        <v>5863</v>
      </c>
      <c r="B265" s="160" t="str">
        <f>Données!B265</f>
        <v>Vinzel</v>
      </c>
      <c r="C265" s="307">
        <f>Données!C265</f>
        <v>385</v>
      </c>
      <c r="D265" s="303">
        <f t="shared" si="67"/>
        <v>385</v>
      </c>
      <c r="E265" s="303">
        <f t="shared" ref="E265:E307" si="72">IF(C265&lt;$E$4,0,IF(C265&gt;$E$5,$E$5-$E$4,C265-$E$4))</f>
        <v>0</v>
      </c>
      <c r="F265" s="308">
        <f t="shared" si="66"/>
        <v>0</v>
      </c>
      <c r="G265" s="302">
        <f t="shared" si="66"/>
        <v>0</v>
      </c>
      <c r="H265" s="303">
        <f t="shared" si="66"/>
        <v>0</v>
      </c>
      <c r="I265" s="308">
        <f t="shared" si="66"/>
        <v>0</v>
      </c>
      <c r="J265" s="309">
        <f t="shared" si="68"/>
        <v>0</v>
      </c>
      <c r="K265" s="302"/>
      <c r="L265" s="303">
        <f t="shared" si="69"/>
        <v>-51314.292779426309</v>
      </c>
      <c r="M265" s="308">
        <f t="shared" ref="M265:M307" si="73">(-$L$6)/($C$308)*C265</f>
        <v>230075.41759354915</v>
      </c>
      <c r="N265" s="310">
        <f t="shared" si="70"/>
        <v>178761.12481412286</v>
      </c>
      <c r="O265" s="302"/>
      <c r="P265" s="311" t="str">
        <f>Données!AC265</f>
        <v/>
      </c>
      <c r="Q265" s="307" t="str">
        <f>Données!AD265</f>
        <v/>
      </c>
      <c r="R265" s="302">
        <f t="shared" ref="R265:R307" si="74">SUM(P265:Q265)</f>
        <v>0</v>
      </c>
      <c r="S265" s="308">
        <f t="shared" ref="S265:S307" si="75">-R265*$P$6</f>
        <v>0</v>
      </c>
      <c r="T265" s="302">
        <f t="shared" ref="T265:T307" si="76">-$S$6/$C$308*C265</f>
        <v>38945.341429168358</v>
      </c>
      <c r="U265" s="312">
        <f t="shared" si="71"/>
        <v>38945.341429168358</v>
      </c>
    </row>
    <row r="266" spans="1:21" x14ac:dyDescent="0.25">
      <c r="A266" s="159">
        <f>Données!A266</f>
        <v>5871</v>
      </c>
      <c r="B266" s="160" t="str">
        <f>Données!B266</f>
        <v>L'Abbaye</v>
      </c>
      <c r="C266" s="307">
        <f>Données!C266</f>
        <v>1599</v>
      </c>
      <c r="D266" s="303">
        <f t="shared" si="67"/>
        <v>1000</v>
      </c>
      <c r="E266" s="303">
        <f t="shared" si="72"/>
        <v>599</v>
      </c>
      <c r="F266" s="308">
        <f t="shared" si="66"/>
        <v>0</v>
      </c>
      <c r="G266" s="302">
        <f t="shared" si="66"/>
        <v>0</v>
      </c>
      <c r="H266" s="303">
        <f t="shared" si="66"/>
        <v>0</v>
      </c>
      <c r="I266" s="308">
        <f t="shared" si="66"/>
        <v>0</v>
      </c>
      <c r="J266" s="309">
        <f t="shared" si="68"/>
        <v>0</v>
      </c>
      <c r="K266" s="302"/>
      <c r="L266" s="303">
        <f t="shared" si="69"/>
        <v>-356827.59643916914</v>
      </c>
      <c r="M266" s="308">
        <f t="shared" si="73"/>
        <v>955559.98112229886</v>
      </c>
      <c r="N266" s="310">
        <f t="shared" si="70"/>
        <v>598732.38468312973</v>
      </c>
      <c r="O266" s="302"/>
      <c r="P266" s="311" t="str">
        <f>Données!AC266</f>
        <v/>
      </c>
      <c r="Q266" s="307" t="str">
        <f>Données!AD266</f>
        <v/>
      </c>
      <c r="R266" s="302">
        <f t="shared" si="74"/>
        <v>0</v>
      </c>
      <c r="S266" s="308">
        <f t="shared" si="75"/>
        <v>0</v>
      </c>
      <c r="T266" s="302">
        <f t="shared" si="76"/>
        <v>161749.61284477977</v>
      </c>
      <c r="U266" s="312">
        <f t="shared" si="71"/>
        <v>161749.61284477977</v>
      </c>
    </row>
    <row r="267" spans="1:21" x14ac:dyDescent="0.25">
      <c r="A267" s="159">
        <f>Données!A267</f>
        <v>5872</v>
      </c>
      <c r="B267" s="160" t="str">
        <f>Données!B267</f>
        <v>Le Chenit</v>
      </c>
      <c r="C267" s="307">
        <f>Données!C267</f>
        <v>4792</v>
      </c>
      <c r="D267" s="303">
        <f t="shared" si="67"/>
        <v>1000</v>
      </c>
      <c r="E267" s="303">
        <f t="shared" si="72"/>
        <v>2000</v>
      </c>
      <c r="F267" s="308">
        <f t="shared" si="66"/>
        <v>1792</v>
      </c>
      <c r="G267" s="302">
        <f t="shared" si="66"/>
        <v>0</v>
      </c>
      <c r="H267" s="303">
        <f t="shared" si="66"/>
        <v>0</v>
      </c>
      <c r="I267" s="308">
        <f t="shared" si="66"/>
        <v>0</v>
      </c>
      <c r="J267" s="309">
        <f t="shared" si="68"/>
        <v>0</v>
      </c>
      <c r="K267" s="302"/>
      <c r="L267" s="303">
        <f t="shared" si="69"/>
        <v>-2073897.1315529179</v>
      </c>
      <c r="M267" s="308">
        <f t="shared" si="73"/>
        <v>2863691.9509306168</v>
      </c>
      <c r="N267" s="310">
        <f t="shared" si="70"/>
        <v>789794.81937769894</v>
      </c>
      <c r="O267" s="302"/>
      <c r="P267" s="311" t="str">
        <f>Données!AC267</f>
        <v/>
      </c>
      <c r="Q267" s="307" t="str">
        <f>Données!AD267</f>
        <v/>
      </c>
      <c r="R267" s="302">
        <f t="shared" si="74"/>
        <v>0</v>
      </c>
      <c r="S267" s="308">
        <f t="shared" si="75"/>
        <v>0</v>
      </c>
      <c r="T267" s="302">
        <f t="shared" si="76"/>
        <v>484743.05487941502</v>
      </c>
      <c r="U267" s="312">
        <f t="shared" si="71"/>
        <v>484743.05487941502</v>
      </c>
    </row>
    <row r="268" spans="1:21" x14ac:dyDescent="0.25">
      <c r="A268" s="159">
        <f>Données!A268</f>
        <v>5873</v>
      </c>
      <c r="B268" s="160" t="str">
        <f>Données!B268</f>
        <v>Le Lieu</v>
      </c>
      <c r="C268" s="307">
        <f>Données!C268</f>
        <v>926</v>
      </c>
      <c r="D268" s="303">
        <f t="shared" si="67"/>
        <v>926</v>
      </c>
      <c r="E268" s="303">
        <f t="shared" si="72"/>
        <v>0</v>
      </c>
      <c r="F268" s="308">
        <f t="shared" si="66"/>
        <v>0</v>
      </c>
      <c r="G268" s="302">
        <f t="shared" si="66"/>
        <v>0</v>
      </c>
      <c r="H268" s="303">
        <f t="shared" si="66"/>
        <v>0</v>
      </c>
      <c r="I268" s="308">
        <f t="shared" si="66"/>
        <v>0</v>
      </c>
      <c r="J268" s="309">
        <f t="shared" si="68"/>
        <v>0</v>
      </c>
      <c r="K268" s="302"/>
      <c r="L268" s="303">
        <f t="shared" si="69"/>
        <v>-123420.87042532145</v>
      </c>
      <c r="M268" s="308">
        <f t="shared" si="73"/>
        <v>553376.19919902994</v>
      </c>
      <c r="N268" s="310">
        <f t="shared" si="70"/>
        <v>429955.32877370849</v>
      </c>
      <c r="O268" s="302"/>
      <c r="P268" s="311" t="str">
        <f>Données!AC268</f>
        <v/>
      </c>
      <c r="Q268" s="307" t="str">
        <f>Données!AD268</f>
        <v/>
      </c>
      <c r="R268" s="302">
        <f t="shared" si="74"/>
        <v>0</v>
      </c>
      <c r="S268" s="308">
        <f t="shared" si="75"/>
        <v>0</v>
      </c>
      <c r="T268" s="302">
        <f t="shared" si="76"/>
        <v>93671.132891973772</v>
      </c>
      <c r="U268" s="312">
        <f t="shared" si="71"/>
        <v>93671.132891973772</v>
      </c>
    </row>
    <row r="269" spans="1:21" x14ac:dyDescent="0.25">
      <c r="A269" s="159">
        <f>Données!A269</f>
        <v>5882</v>
      </c>
      <c r="B269" s="160" t="str">
        <f>Données!B269</f>
        <v>Chardonne</v>
      </c>
      <c r="C269" s="307">
        <f>Données!C269</f>
        <v>3384</v>
      </c>
      <c r="D269" s="303">
        <f t="shared" si="67"/>
        <v>1000</v>
      </c>
      <c r="E269" s="303">
        <f t="shared" si="72"/>
        <v>2000</v>
      </c>
      <c r="F269" s="308">
        <f t="shared" ref="F269:I278" si="77">IF($C269&lt;F$4,0,IF($C269&gt;F$5,F$5-F$4,$C269-F$4))</f>
        <v>384</v>
      </c>
      <c r="G269" s="302">
        <f t="shared" si="77"/>
        <v>0</v>
      </c>
      <c r="H269" s="303">
        <f t="shared" si="77"/>
        <v>0</v>
      </c>
      <c r="I269" s="308">
        <f t="shared" si="77"/>
        <v>0</v>
      </c>
      <c r="J269" s="309">
        <f t="shared" si="68"/>
        <v>0</v>
      </c>
      <c r="K269" s="302"/>
      <c r="L269" s="303">
        <f t="shared" si="69"/>
        <v>-1135578.6350148369</v>
      </c>
      <c r="M269" s="308">
        <f t="shared" si="73"/>
        <v>2022273.2808742085</v>
      </c>
      <c r="N269" s="310">
        <f t="shared" si="70"/>
        <v>886694.64585937164</v>
      </c>
      <c r="O269" s="302"/>
      <c r="P269" s="311" t="str">
        <f>Données!AC269</f>
        <v/>
      </c>
      <c r="Q269" s="307" t="str">
        <f>Données!AD269</f>
        <v/>
      </c>
      <c r="R269" s="302">
        <f t="shared" si="74"/>
        <v>0</v>
      </c>
      <c r="S269" s="308">
        <f t="shared" si="75"/>
        <v>0</v>
      </c>
      <c r="T269" s="302">
        <f t="shared" si="76"/>
        <v>342314.37765274214</v>
      </c>
      <c r="U269" s="312">
        <f t="shared" si="71"/>
        <v>342314.37765274214</v>
      </c>
    </row>
    <row r="270" spans="1:21" x14ac:dyDescent="0.25">
      <c r="A270" s="159">
        <f>Données!A270</f>
        <v>5883</v>
      </c>
      <c r="B270" s="160" t="str">
        <f>Données!B270</f>
        <v>Corseaux</v>
      </c>
      <c r="C270" s="307">
        <f>Données!C270</f>
        <v>2326</v>
      </c>
      <c r="D270" s="303">
        <f t="shared" si="67"/>
        <v>1000</v>
      </c>
      <c r="E270" s="303">
        <f t="shared" si="72"/>
        <v>1326</v>
      </c>
      <c r="F270" s="308">
        <f t="shared" si="77"/>
        <v>0</v>
      </c>
      <c r="G270" s="302">
        <f t="shared" si="77"/>
        <v>0</v>
      </c>
      <c r="H270" s="303">
        <f t="shared" si="77"/>
        <v>0</v>
      </c>
      <c r="I270" s="308">
        <f t="shared" si="77"/>
        <v>0</v>
      </c>
      <c r="J270" s="309">
        <f t="shared" si="68"/>
        <v>0</v>
      </c>
      <c r="K270" s="302"/>
      <c r="L270" s="303">
        <f t="shared" si="69"/>
        <v>-628140.2571711177</v>
      </c>
      <c r="M270" s="308">
        <f t="shared" si="73"/>
        <v>1390014.0813573904</v>
      </c>
      <c r="N270" s="310">
        <f t="shared" si="70"/>
        <v>761873.82418627269</v>
      </c>
      <c r="O270" s="302"/>
      <c r="P270" s="311">
        <f>Données!AC270</f>
        <v>328763.90000000002</v>
      </c>
      <c r="Q270" s="307">
        <f>Données!AD270</f>
        <v>-33812.300000000003</v>
      </c>
      <c r="R270" s="302">
        <f t="shared" si="74"/>
        <v>294951.60000000003</v>
      </c>
      <c r="S270" s="308">
        <f t="shared" si="75"/>
        <v>-176970.96000000002</v>
      </c>
      <c r="T270" s="302">
        <f t="shared" si="76"/>
        <v>235290.55627076782</v>
      </c>
      <c r="U270" s="312">
        <f t="shared" si="71"/>
        <v>58319.596270767797</v>
      </c>
    </row>
    <row r="271" spans="1:21" x14ac:dyDescent="0.25">
      <c r="A271" s="159">
        <f>Données!A271</f>
        <v>5884</v>
      </c>
      <c r="B271" s="160" t="str">
        <f>Données!B271</f>
        <v>Corsier-sur-Vevey</v>
      </c>
      <c r="C271" s="307">
        <f>Données!C271</f>
        <v>3458</v>
      </c>
      <c r="D271" s="303">
        <f t="shared" si="67"/>
        <v>1000</v>
      </c>
      <c r="E271" s="303">
        <f t="shared" si="72"/>
        <v>2000</v>
      </c>
      <c r="F271" s="308">
        <f t="shared" si="77"/>
        <v>458</v>
      </c>
      <c r="G271" s="302">
        <f t="shared" si="77"/>
        <v>0</v>
      </c>
      <c r="H271" s="303">
        <f t="shared" si="77"/>
        <v>0</v>
      </c>
      <c r="I271" s="308">
        <f t="shared" si="77"/>
        <v>0</v>
      </c>
      <c r="J271" s="309">
        <f t="shared" si="68"/>
        <v>0</v>
      </c>
      <c r="K271" s="302"/>
      <c r="L271" s="303">
        <f t="shared" si="69"/>
        <v>-1184893.6696340258</v>
      </c>
      <c r="M271" s="308">
        <f t="shared" si="73"/>
        <v>2066495.5689311505</v>
      </c>
      <c r="N271" s="310">
        <f t="shared" si="70"/>
        <v>881601.89929712471</v>
      </c>
      <c r="O271" s="302"/>
      <c r="P271" s="311">
        <f>Données!AC271</f>
        <v>921394.07</v>
      </c>
      <c r="Q271" s="307">
        <f>Données!AD271</f>
        <v>-79462.060000000056</v>
      </c>
      <c r="R271" s="302">
        <f t="shared" si="74"/>
        <v>841932.00999999989</v>
      </c>
      <c r="S271" s="308">
        <f t="shared" si="75"/>
        <v>-505159.20599999989</v>
      </c>
      <c r="T271" s="302">
        <f t="shared" si="76"/>
        <v>349799.97574562125</v>
      </c>
      <c r="U271" s="312">
        <f t="shared" si="71"/>
        <v>-155359.23025437864</v>
      </c>
    </row>
    <row r="272" spans="1:21" x14ac:dyDescent="0.25">
      <c r="A272" s="159">
        <f>Données!A272</f>
        <v>5885</v>
      </c>
      <c r="B272" s="160" t="str">
        <f>Données!B272</f>
        <v>Jongny</v>
      </c>
      <c r="C272" s="307">
        <f>Données!C272</f>
        <v>1917</v>
      </c>
      <c r="D272" s="303">
        <f t="shared" si="67"/>
        <v>1000</v>
      </c>
      <c r="E272" s="303">
        <f t="shared" si="72"/>
        <v>917</v>
      </c>
      <c r="F272" s="308">
        <f t="shared" si="77"/>
        <v>0</v>
      </c>
      <c r="G272" s="302">
        <f t="shared" si="77"/>
        <v>0</v>
      </c>
      <c r="H272" s="303">
        <f t="shared" si="77"/>
        <v>0</v>
      </c>
      <c r="I272" s="308">
        <f t="shared" si="77"/>
        <v>0</v>
      </c>
      <c r="J272" s="309">
        <f t="shared" si="68"/>
        <v>0</v>
      </c>
      <c r="K272" s="302"/>
      <c r="L272" s="303">
        <f t="shared" si="69"/>
        <v>-475503.56083086052</v>
      </c>
      <c r="M272" s="308">
        <f t="shared" si="73"/>
        <v>1145596.3000696979</v>
      </c>
      <c r="N272" s="310">
        <f t="shared" si="70"/>
        <v>670092.73923883738</v>
      </c>
      <c r="O272" s="302"/>
      <c r="P272" s="311" t="str">
        <f>Données!AC272</f>
        <v/>
      </c>
      <c r="Q272" s="307" t="str">
        <f>Données!AD272</f>
        <v/>
      </c>
      <c r="R272" s="302">
        <f t="shared" si="74"/>
        <v>0</v>
      </c>
      <c r="S272" s="308">
        <f t="shared" si="75"/>
        <v>0</v>
      </c>
      <c r="T272" s="302">
        <f t="shared" si="76"/>
        <v>193917.45329796299</v>
      </c>
      <c r="U272" s="312">
        <f t="shared" si="71"/>
        <v>193917.45329796299</v>
      </c>
    </row>
    <row r="273" spans="1:21" x14ac:dyDescent="0.25">
      <c r="A273" s="159">
        <f>Données!A273</f>
        <v>5886</v>
      </c>
      <c r="B273" s="160" t="str">
        <f>Données!B273</f>
        <v>Montreux</v>
      </c>
      <c r="C273" s="307">
        <f>Données!C273</f>
        <v>27166</v>
      </c>
      <c r="D273" s="303">
        <f t="shared" si="67"/>
        <v>1000</v>
      </c>
      <c r="E273" s="303">
        <f t="shared" si="72"/>
        <v>2000</v>
      </c>
      <c r="F273" s="308">
        <f t="shared" si="77"/>
        <v>9000</v>
      </c>
      <c r="G273" s="302">
        <f t="shared" si="77"/>
        <v>3000</v>
      </c>
      <c r="H273" s="303">
        <f t="shared" si="77"/>
        <v>12166</v>
      </c>
      <c r="I273" s="308">
        <f t="shared" si="77"/>
        <v>0</v>
      </c>
      <c r="J273" s="309">
        <f t="shared" si="68"/>
        <v>0</v>
      </c>
      <c r="K273" s="302"/>
      <c r="L273" s="303">
        <f t="shared" si="69"/>
        <v>-23697127.002967358</v>
      </c>
      <c r="M273" s="308">
        <f t="shared" si="73"/>
        <v>16234360.50479573</v>
      </c>
      <c r="N273" s="310">
        <f t="shared" si="70"/>
        <v>-7462766.4981716275</v>
      </c>
      <c r="O273" s="302"/>
      <c r="P273" s="311">
        <f>Données!AC273</f>
        <v>5044234.1500000004</v>
      </c>
      <c r="Q273" s="307">
        <f>Données!AD273</f>
        <v>-1575069.22</v>
      </c>
      <c r="R273" s="302">
        <f t="shared" si="74"/>
        <v>3469164.9300000006</v>
      </c>
      <c r="S273" s="308">
        <f t="shared" si="75"/>
        <v>-2081498.9580000003</v>
      </c>
      <c r="T273" s="302">
        <f t="shared" si="76"/>
        <v>2748023.7539345133</v>
      </c>
      <c r="U273" s="312">
        <f t="shared" si="71"/>
        <v>666524.79593451298</v>
      </c>
    </row>
    <row r="274" spans="1:21" x14ac:dyDescent="0.25">
      <c r="A274" s="159">
        <f>Données!A274</f>
        <v>5889</v>
      </c>
      <c r="B274" s="160" t="str">
        <f>Données!B274</f>
        <v>La Tour-de-Peilz</v>
      </c>
      <c r="C274" s="307">
        <f>Données!C274</f>
        <v>13053</v>
      </c>
      <c r="D274" s="303">
        <f t="shared" si="67"/>
        <v>1000</v>
      </c>
      <c r="E274" s="303">
        <f t="shared" si="72"/>
        <v>2000</v>
      </c>
      <c r="F274" s="308">
        <f t="shared" si="77"/>
        <v>9000</v>
      </c>
      <c r="G274" s="302">
        <f t="shared" si="77"/>
        <v>1053</v>
      </c>
      <c r="H274" s="303">
        <f t="shared" si="77"/>
        <v>0</v>
      </c>
      <c r="I274" s="308">
        <f t="shared" si="77"/>
        <v>0</v>
      </c>
      <c r="J274" s="309">
        <f t="shared" si="68"/>
        <v>0</v>
      </c>
      <c r="K274" s="302"/>
      <c r="L274" s="303">
        <f t="shared" si="69"/>
        <v>-8000231.4540059343</v>
      </c>
      <c r="M274" s="308">
        <f t="shared" si="73"/>
        <v>7800453.0541522</v>
      </c>
      <c r="N274" s="310">
        <f t="shared" si="70"/>
        <v>-199778.3998537343</v>
      </c>
      <c r="O274" s="302"/>
      <c r="P274" s="311">
        <f>Données!AC274</f>
        <v>2283117.6</v>
      </c>
      <c r="Q274" s="307">
        <f>Données!AD274</f>
        <v>-623833.63</v>
      </c>
      <c r="R274" s="302">
        <f t="shared" si="74"/>
        <v>1659283.9700000002</v>
      </c>
      <c r="S274" s="308">
        <f t="shared" si="75"/>
        <v>-995570.3820000001</v>
      </c>
      <c r="T274" s="302">
        <f t="shared" si="76"/>
        <v>1320398.8095452846</v>
      </c>
      <c r="U274" s="312">
        <f t="shared" si="71"/>
        <v>324828.4275452845</v>
      </c>
    </row>
    <row r="275" spans="1:21" x14ac:dyDescent="0.25">
      <c r="A275" s="159">
        <f>Données!A275</f>
        <v>5890</v>
      </c>
      <c r="B275" s="160" t="str">
        <f>Données!B275</f>
        <v>Vevey</v>
      </c>
      <c r="C275" s="307">
        <f>Données!C275</f>
        <v>20179</v>
      </c>
      <c r="D275" s="303">
        <f t="shared" si="67"/>
        <v>1000</v>
      </c>
      <c r="E275" s="303">
        <f t="shared" si="72"/>
        <v>2000</v>
      </c>
      <c r="F275" s="308">
        <f t="shared" si="77"/>
        <v>9000</v>
      </c>
      <c r="G275" s="302">
        <f t="shared" si="77"/>
        <v>3000</v>
      </c>
      <c r="H275" s="303">
        <f t="shared" si="77"/>
        <v>5179</v>
      </c>
      <c r="I275" s="308">
        <f t="shared" si="77"/>
        <v>0</v>
      </c>
      <c r="J275" s="309">
        <f t="shared" si="68"/>
        <v>0</v>
      </c>
      <c r="K275" s="302"/>
      <c r="L275" s="303">
        <f t="shared" si="69"/>
        <v>-15874589.614243323</v>
      </c>
      <c r="M275" s="308">
        <f t="shared" si="73"/>
        <v>12058939.874338254</v>
      </c>
      <c r="N275" s="310">
        <f t="shared" si="70"/>
        <v>-3815649.7399050687</v>
      </c>
      <c r="O275" s="302"/>
      <c r="P275" s="311">
        <f>Données!AC275</f>
        <v>3830868.09</v>
      </c>
      <c r="Q275" s="307">
        <f>Données!AD275</f>
        <v>-843739.68</v>
      </c>
      <c r="R275" s="302">
        <f t="shared" si="74"/>
        <v>2987128.4099999997</v>
      </c>
      <c r="S275" s="308">
        <f t="shared" si="75"/>
        <v>-1792277.0459999999</v>
      </c>
      <c r="T275" s="302">
        <f t="shared" si="76"/>
        <v>2041241.6745433463</v>
      </c>
      <c r="U275" s="312">
        <f t="shared" si="71"/>
        <v>248964.62854334642</v>
      </c>
    </row>
    <row r="276" spans="1:21" x14ac:dyDescent="0.25">
      <c r="A276" s="159">
        <f>Données!A276</f>
        <v>5891</v>
      </c>
      <c r="B276" s="160" t="str">
        <f>Données!B276</f>
        <v>Veytaux</v>
      </c>
      <c r="C276" s="307">
        <f>Données!C276</f>
        <v>1008</v>
      </c>
      <c r="D276" s="303">
        <f t="shared" si="67"/>
        <v>1000</v>
      </c>
      <c r="E276" s="303">
        <f t="shared" si="72"/>
        <v>8</v>
      </c>
      <c r="F276" s="308">
        <f t="shared" si="77"/>
        <v>0</v>
      </c>
      <c r="G276" s="302">
        <f t="shared" si="77"/>
        <v>0</v>
      </c>
      <c r="H276" s="303">
        <f t="shared" si="77"/>
        <v>0</v>
      </c>
      <c r="I276" s="308">
        <f t="shared" si="77"/>
        <v>0</v>
      </c>
      <c r="J276" s="309">
        <f t="shared" si="68"/>
        <v>0</v>
      </c>
      <c r="K276" s="302"/>
      <c r="L276" s="303">
        <f t="shared" si="69"/>
        <v>-136269.43620178042</v>
      </c>
      <c r="M276" s="308">
        <f t="shared" si="73"/>
        <v>602379.27515401959</v>
      </c>
      <c r="N276" s="310">
        <f t="shared" si="70"/>
        <v>466109.83895223914</v>
      </c>
      <c r="O276" s="302"/>
      <c r="P276" s="311">
        <f>Données!AC276</f>
        <v>357611</v>
      </c>
      <c r="Q276" s="307">
        <f>Données!AD276</f>
        <v>-139128.46</v>
      </c>
      <c r="R276" s="302">
        <f t="shared" si="74"/>
        <v>218482.54</v>
      </c>
      <c r="S276" s="308">
        <f t="shared" si="75"/>
        <v>-131089.524</v>
      </c>
      <c r="T276" s="302">
        <f t="shared" si="76"/>
        <v>101965.9848327317</v>
      </c>
      <c r="U276" s="312">
        <f t="shared" si="71"/>
        <v>-29123.539167268304</v>
      </c>
    </row>
    <row r="277" spans="1:21" x14ac:dyDescent="0.25">
      <c r="A277" s="159">
        <f>Données!A277</f>
        <v>5892</v>
      </c>
      <c r="B277" s="160" t="str">
        <f>Données!B277</f>
        <v>Blonay-Saint-Légier</v>
      </c>
      <c r="C277" s="307">
        <f>Données!C277</f>
        <v>12597</v>
      </c>
      <c r="D277" s="303">
        <f t="shared" si="67"/>
        <v>1000</v>
      </c>
      <c r="E277" s="303">
        <f t="shared" si="72"/>
        <v>2000</v>
      </c>
      <c r="F277" s="308">
        <f t="shared" si="77"/>
        <v>9000</v>
      </c>
      <c r="G277" s="302">
        <f t="shared" si="77"/>
        <v>597</v>
      </c>
      <c r="H277" s="303">
        <f t="shared" si="77"/>
        <v>0</v>
      </c>
      <c r="I277" s="308">
        <f t="shared" si="77"/>
        <v>0</v>
      </c>
      <c r="J277" s="309">
        <f t="shared" si="68"/>
        <v>0</v>
      </c>
      <c r="K277" s="302"/>
      <c r="L277" s="303">
        <f t="shared" si="69"/>
        <v>-7514011.8694362016</v>
      </c>
      <c r="M277" s="308">
        <f t="shared" si="73"/>
        <v>7527948.1439634766</v>
      </c>
      <c r="N277" s="310">
        <f t="shared" si="70"/>
        <v>13936.274527275003</v>
      </c>
      <c r="O277" s="302"/>
      <c r="P277" s="311">
        <f>Données!AC277</f>
        <v>1146326.79</v>
      </c>
      <c r="Q277" s="307">
        <f>Données!AD277</f>
        <v>-144633.79</v>
      </c>
      <c r="R277" s="302">
        <f t="shared" si="74"/>
        <v>1001693</v>
      </c>
      <c r="S277" s="308">
        <f t="shared" si="75"/>
        <v>-601015.79999999993</v>
      </c>
      <c r="T277" s="302">
        <f t="shared" si="76"/>
        <v>1274271.3402161917</v>
      </c>
      <c r="U277" s="312">
        <f t="shared" si="71"/>
        <v>673255.54021619179</v>
      </c>
    </row>
    <row r="278" spans="1:21" x14ac:dyDescent="0.25">
      <c r="A278" s="159">
        <f>Données!A278</f>
        <v>5902</v>
      </c>
      <c r="B278" s="160" t="str">
        <f>Données!B278</f>
        <v>Belmont-sur-Yverdon</v>
      </c>
      <c r="C278" s="307">
        <f>Données!C278</f>
        <v>457</v>
      </c>
      <c r="D278" s="303">
        <f t="shared" si="67"/>
        <v>457</v>
      </c>
      <c r="E278" s="303">
        <f t="shared" si="72"/>
        <v>0</v>
      </c>
      <c r="F278" s="308">
        <f t="shared" si="77"/>
        <v>0</v>
      </c>
      <c r="G278" s="302">
        <f t="shared" si="77"/>
        <v>0</v>
      </c>
      <c r="H278" s="303">
        <f t="shared" si="77"/>
        <v>0</v>
      </c>
      <c r="I278" s="308">
        <f t="shared" si="77"/>
        <v>0</v>
      </c>
      <c r="J278" s="309">
        <f t="shared" si="68"/>
        <v>0</v>
      </c>
      <c r="K278" s="302"/>
      <c r="L278" s="303">
        <f t="shared" si="69"/>
        <v>-60910.731948565772</v>
      </c>
      <c r="M278" s="308">
        <f t="shared" si="73"/>
        <v>273102.5086759791</v>
      </c>
      <c r="N278" s="310">
        <f t="shared" si="70"/>
        <v>212191.77672741332</v>
      </c>
      <c r="O278" s="302"/>
      <c r="P278" s="311" t="str">
        <f>Données!AC278</f>
        <v/>
      </c>
      <c r="Q278" s="307" t="str">
        <f>Données!AD278</f>
        <v/>
      </c>
      <c r="R278" s="302">
        <f t="shared" si="74"/>
        <v>0</v>
      </c>
      <c r="S278" s="308">
        <f t="shared" si="75"/>
        <v>0</v>
      </c>
      <c r="T278" s="302">
        <f t="shared" si="76"/>
        <v>46228.626060077768</v>
      </c>
      <c r="U278" s="312">
        <f t="shared" si="71"/>
        <v>46228.626060077768</v>
      </c>
    </row>
    <row r="279" spans="1:21" x14ac:dyDescent="0.25">
      <c r="A279" s="159">
        <f>Données!A279</f>
        <v>5903</v>
      </c>
      <c r="B279" s="160" t="str">
        <f>Données!B279</f>
        <v>Bioley-Magnoux</v>
      </c>
      <c r="C279" s="307">
        <f>Données!C279</f>
        <v>252</v>
      </c>
      <c r="D279" s="303">
        <f t="shared" si="67"/>
        <v>252</v>
      </c>
      <c r="E279" s="303">
        <f t="shared" si="72"/>
        <v>0</v>
      </c>
      <c r="F279" s="308">
        <f t="shared" ref="F279:I288" si="78">IF($C279&lt;F$4,0,IF($C279&gt;F$5,F$5-F$4,$C279-F$4))</f>
        <v>0</v>
      </c>
      <c r="G279" s="302">
        <f t="shared" si="78"/>
        <v>0</v>
      </c>
      <c r="H279" s="303">
        <f t="shared" si="78"/>
        <v>0</v>
      </c>
      <c r="I279" s="308">
        <f t="shared" si="78"/>
        <v>0</v>
      </c>
      <c r="J279" s="309">
        <f t="shared" si="68"/>
        <v>0</v>
      </c>
      <c r="K279" s="302"/>
      <c r="L279" s="303">
        <f t="shared" si="69"/>
        <v>-33587.537091988132</v>
      </c>
      <c r="M279" s="308">
        <f t="shared" si="73"/>
        <v>150594.8187885049</v>
      </c>
      <c r="N279" s="310">
        <f t="shared" si="70"/>
        <v>117007.28169651676</v>
      </c>
      <c r="O279" s="302"/>
      <c r="P279" s="311" t="str">
        <f>Données!AC279</f>
        <v/>
      </c>
      <c r="Q279" s="307" t="str">
        <f>Données!AD279</f>
        <v/>
      </c>
      <c r="R279" s="302">
        <f t="shared" si="74"/>
        <v>0</v>
      </c>
      <c r="S279" s="308">
        <f t="shared" si="75"/>
        <v>0</v>
      </c>
      <c r="T279" s="302">
        <f t="shared" si="76"/>
        <v>25491.496208182925</v>
      </c>
      <c r="U279" s="312">
        <f t="shared" si="71"/>
        <v>25491.496208182925</v>
      </c>
    </row>
    <row r="280" spans="1:21" x14ac:dyDescent="0.25">
      <c r="A280" s="159">
        <f>Données!A280</f>
        <v>5904</v>
      </c>
      <c r="B280" s="160" t="str">
        <f>Données!B280</f>
        <v>Chamblon</v>
      </c>
      <c r="C280" s="307">
        <f>Données!C280</f>
        <v>558</v>
      </c>
      <c r="D280" s="303">
        <f t="shared" si="67"/>
        <v>558</v>
      </c>
      <c r="E280" s="303">
        <f t="shared" si="72"/>
        <v>0</v>
      </c>
      <c r="F280" s="308">
        <f t="shared" si="78"/>
        <v>0</v>
      </c>
      <c r="G280" s="302">
        <f t="shared" si="78"/>
        <v>0</v>
      </c>
      <c r="H280" s="303">
        <f t="shared" si="78"/>
        <v>0</v>
      </c>
      <c r="I280" s="308">
        <f t="shared" si="78"/>
        <v>0</v>
      </c>
      <c r="J280" s="309">
        <f t="shared" si="68"/>
        <v>0</v>
      </c>
      <c r="K280" s="302"/>
      <c r="L280" s="303">
        <f t="shared" si="69"/>
        <v>-74372.403560830862</v>
      </c>
      <c r="M280" s="308">
        <f t="shared" si="73"/>
        <v>333459.95588883228</v>
      </c>
      <c r="N280" s="310">
        <f t="shared" si="70"/>
        <v>259087.55232800142</v>
      </c>
      <c r="O280" s="302"/>
      <c r="P280" s="311" t="str">
        <f>Données!AC280</f>
        <v/>
      </c>
      <c r="Q280" s="307" t="str">
        <f>Données!AD280</f>
        <v/>
      </c>
      <c r="R280" s="302">
        <f t="shared" si="74"/>
        <v>0</v>
      </c>
      <c r="S280" s="308">
        <f t="shared" si="75"/>
        <v>0</v>
      </c>
      <c r="T280" s="302">
        <f t="shared" si="76"/>
        <v>56445.455889547913</v>
      </c>
      <c r="U280" s="312">
        <f t="shared" si="71"/>
        <v>56445.455889547913</v>
      </c>
    </row>
    <row r="281" spans="1:21" x14ac:dyDescent="0.25">
      <c r="A281" s="159">
        <f>Données!A281</f>
        <v>5905</v>
      </c>
      <c r="B281" s="160" t="str">
        <f>Données!B281</f>
        <v>Champvent</v>
      </c>
      <c r="C281" s="307">
        <f>Données!C281</f>
        <v>692</v>
      </c>
      <c r="D281" s="303">
        <f t="shared" si="67"/>
        <v>692</v>
      </c>
      <c r="E281" s="303">
        <f t="shared" si="72"/>
        <v>0</v>
      </c>
      <c r="F281" s="308">
        <f t="shared" si="78"/>
        <v>0</v>
      </c>
      <c r="G281" s="302">
        <f t="shared" si="78"/>
        <v>0</v>
      </c>
      <c r="H281" s="303">
        <f t="shared" si="78"/>
        <v>0</v>
      </c>
      <c r="I281" s="308">
        <f t="shared" si="78"/>
        <v>0</v>
      </c>
      <c r="J281" s="309">
        <f t="shared" si="68"/>
        <v>0</v>
      </c>
      <c r="K281" s="302"/>
      <c r="L281" s="303">
        <f t="shared" si="69"/>
        <v>-92232.4431256182</v>
      </c>
      <c r="M281" s="308">
        <f t="shared" si="73"/>
        <v>413538.15318113251</v>
      </c>
      <c r="N281" s="310">
        <f t="shared" si="70"/>
        <v>321305.7100555143</v>
      </c>
      <c r="O281" s="302"/>
      <c r="P281" s="311" t="str">
        <f>Données!AC281</f>
        <v/>
      </c>
      <c r="Q281" s="307" t="str">
        <f>Données!AD281</f>
        <v/>
      </c>
      <c r="R281" s="302">
        <f t="shared" si="74"/>
        <v>0</v>
      </c>
      <c r="S281" s="308">
        <f t="shared" si="75"/>
        <v>0</v>
      </c>
      <c r="T281" s="302">
        <f t="shared" si="76"/>
        <v>70000.45784151819</v>
      </c>
      <c r="U281" s="312">
        <f t="shared" si="71"/>
        <v>70000.45784151819</v>
      </c>
    </row>
    <row r="282" spans="1:21" x14ac:dyDescent="0.25">
      <c r="A282" s="159">
        <f>Données!A282</f>
        <v>5907</v>
      </c>
      <c r="B282" s="160" t="str">
        <f>Données!B282</f>
        <v>Chavannes-le-Chêne</v>
      </c>
      <c r="C282" s="307">
        <f>Données!C282</f>
        <v>329</v>
      </c>
      <c r="D282" s="303">
        <f t="shared" si="67"/>
        <v>329</v>
      </c>
      <c r="E282" s="303">
        <f t="shared" si="72"/>
        <v>0</v>
      </c>
      <c r="F282" s="308">
        <f t="shared" si="78"/>
        <v>0</v>
      </c>
      <c r="G282" s="302">
        <f t="shared" si="78"/>
        <v>0</v>
      </c>
      <c r="H282" s="303">
        <f t="shared" si="78"/>
        <v>0</v>
      </c>
      <c r="I282" s="308">
        <f t="shared" si="78"/>
        <v>0</v>
      </c>
      <c r="J282" s="309">
        <f t="shared" si="68"/>
        <v>0</v>
      </c>
      <c r="K282" s="302"/>
      <c r="L282" s="303">
        <f t="shared" si="69"/>
        <v>-43850.395647873389</v>
      </c>
      <c r="M282" s="308">
        <f t="shared" si="73"/>
        <v>196609.90230721471</v>
      </c>
      <c r="N282" s="310">
        <f t="shared" si="70"/>
        <v>152759.50665934134</v>
      </c>
      <c r="O282" s="302"/>
      <c r="P282" s="311" t="str">
        <f>Données!AC282</f>
        <v/>
      </c>
      <c r="Q282" s="307" t="str">
        <f>Données!AD282</f>
        <v/>
      </c>
      <c r="R282" s="302">
        <f t="shared" si="74"/>
        <v>0</v>
      </c>
      <c r="S282" s="308">
        <f t="shared" si="75"/>
        <v>0</v>
      </c>
      <c r="T282" s="302">
        <f t="shared" si="76"/>
        <v>33280.564494016602</v>
      </c>
      <c r="U282" s="312">
        <f t="shared" si="71"/>
        <v>33280.564494016602</v>
      </c>
    </row>
    <row r="283" spans="1:21" x14ac:dyDescent="0.25">
      <c r="A283" s="159">
        <f>Données!A283</f>
        <v>5908</v>
      </c>
      <c r="B283" s="160" t="str">
        <f>Données!B283</f>
        <v>Chêne-Pâquier</v>
      </c>
      <c r="C283" s="307">
        <f>Données!C283</f>
        <v>172</v>
      </c>
      <c r="D283" s="303">
        <f t="shared" si="67"/>
        <v>172</v>
      </c>
      <c r="E283" s="303">
        <f t="shared" si="72"/>
        <v>0</v>
      </c>
      <c r="F283" s="308">
        <f t="shared" si="78"/>
        <v>0</v>
      </c>
      <c r="G283" s="302">
        <f t="shared" si="78"/>
        <v>0</v>
      </c>
      <c r="H283" s="303">
        <f t="shared" si="78"/>
        <v>0</v>
      </c>
      <c r="I283" s="308">
        <f t="shared" si="78"/>
        <v>0</v>
      </c>
      <c r="J283" s="309">
        <f t="shared" si="68"/>
        <v>0</v>
      </c>
      <c r="K283" s="302"/>
      <c r="L283" s="303">
        <f t="shared" si="69"/>
        <v>-22924.82690405539</v>
      </c>
      <c r="M283" s="308">
        <f t="shared" si="73"/>
        <v>102786.93980802715</v>
      </c>
      <c r="N283" s="310">
        <f t="shared" si="70"/>
        <v>79862.112903971763</v>
      </c>
      <c r="O283" s="302"/>
      <c r="P283" s="311" t="str">
        <f>Données!AC283</f>
        <v/>
      </c>
      <c r="Q283" s="307" t="str">
        <f>Données!AD283</f>
        <v/>
      </c>
      <c r="R283" s="302">
        <f t="shared" si="74"/>
        <v>0</v>
      </c>
      <c r="S283" s="308">
        <f t="shared" si="75"/>
        <v>0</v>
      </c>
      <c r="T283" s="302">
        <f t="shared" si="76"/>
        <v>17398.957729394697</v>
      </c>
      <c r="U283" s="312">
        <f t="shared" si="71"/>
        <v>17398.957729394697</v>
      </c>
    </row>
    <row r="284" spans="1:21" x14ac:dyDescent="0.25">
      <c r="A284" s="159">
        <f>Données!A284</f>
        <v>5909</v>
      </c>
      <c r="B284" s="160" t="str">
        <f>Données!B284</f>
        <v>Cheseaux-Noréaz</v>
      </c>
      <c r="C284" s="307">
        <f>Données!C284</f>
        <v>745</v>
      </c>
      <c r="D284" s="303">
        <f t="shared" si="67"/>
        <v>745</v>
      </c>
      <c r="E284" s="303">
        <f t="shared" si="72"/>
        <v>0</v>
      </c>
      <c r="F284" s="308">
        <f t="shared" si="78"/>
        <v>0</v>
      </c>
      <c r="G284" s="302">
        <f t="shared" si="78"/>
        <v>0</v>
      </c>
      <c r="H284" s="303">
        <f t="shared" si="78"/>
        <v>0</v>
      </c>
      <c r="I284" s="308">
        <f t="shared" si="78"/>
        <v>0</v>
      </c>
      <c r="J284" s="309">
        <f t="shared" si="68"/>
        <v>0</v>
      </c>
      <c r="K284" s="302"/>
      <c r="L284" s="303">
        <f t="shared" si="69"/>
        <v>-99296.488625123631</v>
      </c>
      <c r="M284" s="308">
        <f t="shared" si="73"/>
        <v>445210.87300569902</v>
      </c>
      <c r="N284" s="310">
        <f t="shared" si="70"/>
        <v>345914.38438057539</v>
      </c>
      <c r="O284" s="302"/>
      <c r="P284" s="311">
        <f>Données!AC284</f>
        <v>102704</v>
      </c>
      <c r="Q284" s="307">
        <f>Données!AD284</f>
        <v>0</v>
      </c>
      <c r="R284" s="302">
        <f t="shared" si="74"/>
        <v>102704</v>
      </c>
      <c r="S284" s="308">
        <f t="shared" si="75"/>
        <v>-61622.399999999994</v>
      </c>
      <c r="T284" s="302">
        <f t="shared" si="76"/>
        <v>75361.764583715398</v>
      </c>
      <c r="U284" s="312">
        <f t="shared" si="71"/>
        <v>13739.364583715404</v>
      </c>
    </row>
    <row r="285" spans="1:21" x14ac:dyDescent="0.25">
      <c r="A285" s="159">
        <f>Données!A285</f>
        <v>5910</v>
      </c>
      <c r="B285" s="160" t="str">
        <f>Données!B285</f>
        <v>Cronay</v>
      </c>
      <c r="C285" s="307">
        <f>Données!C285</f>
        <v>432</v>
      </c>
      <c r="D285" s="303">
        <f t="shared" si="67"/>
        <v>432</v>
      </c>
      <c r="E285" s="303">
        <f t="shared" si="72"/>
        <v>0</v>
      </c>
      <c r="F285" s="308">
        <f t="shared" si="78"/>
        <v>0</v>
      </c>
      <c r="G285" s="302">
        <f t="shared" si="78"/>
        <v>0</v>
      </c>
      <c r="H285" s="303">
        <f t="shared" si="78"/>
        <v>0</v>
      </c>
      <c r="I285" s="308">
        <f t="shared" si="78"/>
        <v>0</v>
      </c>
      <c r="J285" s="309">
        <f t="shared" si="68"/>
        <v>0</v>
      </c>
      <c r="K285" s="302"/>
      <c r="L285" s="303">
        <f t="shared" si="69"/>
        <v>-57578.635014836793</v>
      </c>
      <c r="M285" s="308">
        <f t="shared" si="73"/>
        <v>258162.54649457982</v>
      </c>
      <c r="N285" s="310">
        <f t="shared" si="70"/>
        <v>200583.91147974302</v>
      </c>
      <c r="O285" s="302"/>
      <c r="P285" s="311" t="str">
        <f>Données!AC285</f>
        <v/>
      </c>
      <c r="Q285" s="307" t="str">
        <f>Données!AD285</f>
        <v/>
      </c>
      <c r="R285" s="302">
        <f t="shared" si="74"/>
        <v>0</v>
      </c>
      <c r="S285" s="308">
        <f t="shared" si="75"/>
        <v>0</v>
      </c>
      <c r="T285" s="302">
        <f t="shared" si="76"/>
        <v>43699.707785456449</v>
      </c>
      <c r="U285" s="312">
        <f t="shared" si="71"/>
        <v>43699.707785456449</v>
      </c>
    </row>
    <row r="286" spans="1:21" x14ac:dyDescent="0.25">
      <c r="A286" s="159">
        <f>Données!A286</f>
        <v>5911</v>
      </c>
      <c r="B286" s="160" t="str">
        <f>Données!B286</f>
        <v>Cuarny</v>
      </c>
      <c r="C286" s="307">
        <f>Données!C286</f>
        <v>244</v>
      </c>
      <c r="D286" s="303">
        <f t="shared" si="67"/>
        <v>244</v>
      </c>
      <c r="E286" s="303">
        <f t="shared" si="72"/>
        <v>0</v>
      </c>
      <c r="F286" s="308">
        <f t="shared" si="78"/>
        <v>0</v>
      </c>
      <c r="G286" s="302">
        <f t="shared" si="78"/>
        <v>0</v>
      </c>
      <c r="H286" s="303">
        <f t="shared" si="78"/>
        <v>0</v>
      </c>
      <c r="I286" s="308">
        <f t="shared" si="78"/>
        <v>0</v>
      </c>
      <c r="J286" s="309">
        <f t="shared" si="68"/>
        <v>0</v>
      </c>
      <c r="K286" s="302"/>
      <c r="L286" s="303">
        <f t="shared" si="69"/>
        <v>-32521.266073194856</v>
      </c>
      <c r="M286" s="308">
        <f t="shared" si="73"/>
        <v>145814.03089045713</v>
      </c>
      <c r="N286" s="310">
        <f t="shared" si="70"/>
        <v>113292.76481726227</v>
      </c>
      <c r="O286" s="302"/>
      <c r="P286" s="311" t="str">
        <f>Données!AC286</f>
        <v/>
      </c>
      <c r="Q286" s="307" t="str">
        <f>Données!AD286</f>
        <v/>
      </c>
      <c r="R286" s="302">
        <f t="shared" si="74"/>
        <v>0</v>
      </c>
      <c r="S286" s="308">
        <f t="shared" si="75"/>
        <v>0</v>
      </c>
      <c r="T286" s="302">
        <f t="shared" si="76"/>
        <v>24682.242360304102</v>
      </c>
      <c r="U286" s="312">
        <f t="shared" si="71"/>
        <v>24682.242360304102</v>
      </c>
    </row>
    <row r="287" spans="1:21" x14ac:dyDescent="0.25">
      <c r="A287" s="159">
        <f>Données!A287</f>
        <v>5912</v>
      </c>
      <c r="B287" s="160" t="str">
        <f>Données!B287</f>
        <v>Démoret</v>
      </c>
      <c r="C287" s="307">
        <f>Données!C287</f>
        <v>181</v>
      </c>
      <c r="D287" s="303">
        <f t="shared" si="67"/>
        <v>181</v>
      </c>
      <c r="E287" s="303">
        <f t="shared" si="72"/>
        <v>0</v>
      </c>
      <c r="F287" s="308">
        <f t="shared" si="78"/>
        <v>0</v>
      </c>
      <c r="G287" s="302">
        <f t="shared" si="78"/>
        <v>0</v>
      </c>
      <c r="H287" s="303">
        <f t="shared" si="78"/>
        <v>0</v>
      </c>
      <c r="I287" s="308">
        <f t="shared" si="78"/>
        <v>0</v>
      </c>
      <c r="J287" s="309">
        <f t="shared" si="68"/>
        <v>0</v>
      </c>
      <c r="K287" s="302"/>
      <c r="L287" s="303">
        <f t="shared" si="69"/>
        <v>-24124.381800197822</v>
      </c>
      <c r="M287" s="308">
        <f t="shared" si="73"/>
        <v>108165.3261933309</v>
      </c>
      <c r="N287" s="310">
        <f t="shared" si="70"/>
        <v>84040.944393133075</v>
      </c>
      <c r="O287" s="302"/>
      <c r="P287" s="311" t="str">
        <f>Données!AC287</f>
        <v/>
      </c>
      <c r="Q287" s="307" t="str">
        <f>Données!AD287</f>
        <v/>
      </c>
      <c r="R287" s="302">
        <f t="shared" si="74"/>
        <v>0</v>
      </c>
      <c r="S287" s="308">
        <f t="shared" si="75"/>
        <v>0</v>
      </c>
      <c r="T287" s="302">
        <f t="shared" si="76"/>
        <v>18309.368308258374</v>
      </c>
      <c r="U287" s="312">
        <f t="shared" si="71"/>
        <v>18309.368308258374</v>
      </c>
    </row>
    <row r="288" spans="1:21" x14ac:dyDescent="0.25">
      <c r="A288" s="159">
        <f>Données!A288</f>
        <v>5913</v>
      </c>
      <c r="B288" s="160" t="str">
        <f>Données!B288</f>
        <v>Donneloye</v>
      </c>
      <c r="C288" s="307">
        <f>Données!C288</f>
        <v>905</v>
      </c>
      <c r="D288" s="303">
        <f t="shared" si="67"/>
        <v>905</v>
      </c>
      <c r="E288" s="303">
        <f t="shared" si="72"/>
        <v>0</v>
      </c>
      <c r="F288" s="308">
        <f t="shared" si="78"/>
        <v>0</v>
      </c>
      <c r="G288" s="302">
        <f t="shared" si="78"/>
        <v>0</v>
      </c>
      <c r="H288" s="303">
        <f t="shared" si="78"/>
        <v>0</v>
      </c>
      <c r="I288" s="308">
        <f t="shared" si="78"/>
        <v>0</v>
      </c>
      <c r="J288" s="309">
        <f t="shared" si="68"/>
        <v>0</v>
      </c>
      <c r="K288" s="302"/>
      <c r="L288" s="303">
        <f t="shared" si="69"/>
        <v>-120621.90900098911</v>
      </c>
      <c r="M288" s="308">
        <f t="shared" si="73"/>
        <v>540826.63096665451</v>
      </c>
      <c r="N288" s="310">
        <f t="shared" si="70"/>
        <v>420204.72196566541</v>
      </c>
      <c r="O288" s="302"/>
      <c r="P288" s="311" t="str">
        <f>Données!AC288</f>
        <v/>
      </c>
      <c r="Q288" s="307" t="str">
        <f>Données!AD288</f>
        <v/>
      </c>
      <c r="R288" s="302">
        <f t="shared" si="74"/>
        <v>0</v>
      </c>
      <c r="S288" s="308">
        <f t="shared" si="75"/>
        <v>0</v>
      </c>
      <c r="T288" s="302">
        <f t="shared" si="76"/>
        <v>91546.841541291855</v>
      </c>
      <c r="U288" s="312">
        <f t="shared" si="71"/>
        <v>91546.841541291855</v>
      </c>
    </row>
    <row r="289" spans="1:21" x14ac:dyDescent="0.25">
      <c r="A289" s="159">
        <f>Données!A289</f>
        <v>5914</v>
      </c>
      <c r="B289" s="160" t="str">
        <f>Données!B289</f>
        <v>Ependes</v>
      </c>
      <c r="C289" s="307">
        <f>Données!C289</f>
        <v>376</v>
      </c>
      <c r="D289" s="303">
        <f t="shared" si="67"/>
        <v>376</v>
      </c>
      <c r="E289" s="303">
        <f t="shared" si="72"/>
        <v>0</v>
      </c>
      <c r="F289" s="308">
        <f t="shared" ref="F289:I298" si="79">IF($C289&lt;F$4,0,IF($C289&gt;F$5,F$5-F$4,$C289-F$4))</f>
        <v>0</v>
      </c>
      <c r="G289" s="302">
        <f t="shared" si="79"/>
        <v>0</v>
      </c>
      <c r="H289" s="303">
        <f t="shared" si="79"/>
        <v>0</v>
      </c>
      <c r="I289" s="308">
        <f t="shared" si="79"/>
        <v>0</v>
      </c>
      <c r="J289" s="309">
        <f t="shared" si="68"/>
        <v>0</v>
      </c>
      <c r="K289" s="302"/>
      <c r="L289" s="303">
        <f t="shared" si="69"/>
        <v>-50114.737883283873</v>
      </c>
      <c r="M289" s="308">
        <f t="shared" si="73"/>
        <v>224697.0312082454</v>
      </c>
      <c r="N289" s="310">
        <f t="shared" si="70"/>
        <v>174582.29332496153</v>
      </c>
      <c r="O289" s="302"/>
      <c r="P289" s="311" t="str">
        <f>Données!AC289</f>
        <v/>
      </c>
      <c r="Q289" s="307" t="str">
        <f>Données!AD289</f>
        <v/>
      </c>
      <c r="R289" s="302">
        <f t="shared" si="74"/>
        <v>0</v>
      </c>
      <c r="S289" s="308">
        <f t="shared" si="75"/>
        <v>0</v>
      </c>
      <c r="T289" s="302">
        <f t="shared" si="76"/>
        <v>38034.930850304685</v>
      </c>
      <c r="U289" s="312">
        <f t="shared" si="71"/>
        <v>38034.930850304685</v>
      </c>
    </row>
    <row r="290" spans="1:21" x14ac:dyDescent="0.25">
      <c r="A290" s="159">
        <f>Données!A290</f>
        <v>5919</v>
      </c>
      <c r="B290" s="160" t="str">
        <f>Données!B290</f>
        <v>Mathod</v>
      </c>
      <c r="C290" s="307">
        <f>Données!C290</f>
        <v>740</v>
      </c>
      <c r="D290" s="303">
        <f t="shared" si="67"/>
        <v>740</v>
      </c>
      <c r="E290" s="303">
        <f t="shared" si="72"/>
        <v>0</v>
      </c>
      <c r="F290" s="308">
        <f t="shared" si="79"/>
        <v>0</v>
      </c>
      <c r="G290" s="302">
        <f t="shared" si="79"/>
        <v>0</v>
      </c>
      <c r="H290" s="303">
        <f t="shared" si="79"/>
        <v>0</v>
      </c>
      <c r="I290" s="308">
        <f t="shared" si="79"/>
        <v>0</v>
      </c>
      <c r="J290" s="309">
        <f t="shared" si="68"/>
        <v>0</v>
      </c>
      <c r="K290" s="302"/>
      <c r="L290" s="303">
        <f t="shared" si="69"/>
        <v>-98630.069238377837</v>
      </c>
      <c r="M290" s="308">
        <f t="shared" si="73"/>
        <v>442222.88056941913</v>
      </c>
      <c r="N290" s="310">
        <f t="shared" si="70"/>
        <v>343592.81133104127</v>
      </c>
      <c r="O290" s="302"/>
      <c r="P290" s="311" t="str">
        <f>Données!AC290</f>
        <v/>
      </c>
      <c r="Q290" s="307" t="str">
        <f>Données!AD290</f>
        <v/>
      </c>
      <c r="R290" s="302">
        <f t="shared" si="74"/>
        <v>0</v>
      </c>
      <c r="S290" s="308">
        <f t="shared" si="75"/>
        <v>0</v>
      </c>
      <c r="T290" s="302">
        <f t="shared" si="76"/>
        <v>74855.980928791134</v>
      </c>
      <c r="U290" s="312">
        <f t="shared" si="71"/>
        <v>74855.980928791134</v>
      </c>
    </row>
    <row r="291" spans="1:21" x14ac:dyDescent="0.25">
      <c r="A291" s="159">
        <f>Données!A291</f>
        <v>5921</v>
      </c>
      <c r="B291" s="160" t="str">
        <f>Données!B291</f>
        <v>Molondin</v>
      </c>
      <c r="C291" s="307">
        <f>Données!C291</f>
        <v>260</v>
      </c>
      <c r="D291" s="303">
        <f t="shared" si="67"/>
        <v>260</v>
      </c>
      <c r="E291" s="303">
        <f t="shared" si="72"/>
        <v>0</v>
      </c>
      <c r="F291" s="308">
        <f t="shared" si="79"/>
        <v>0</v>
      </c>
      <c r="G291" s="302">
        <f t="shared" si="79"/>
        <v>0</v>
      </c>
      <c r="H291" s="303">
        <f t="shared" si="79"/>
        <v>0</v>
      </c>
      <c r="I291" s="308">
        <f t="shared" si="79"/>
        <v>0</v>
      </c>
      <c r="J291" s="309">
        <f t="shared" si="68"/>
        <v>0</v>
      </c>
      <c r="K291" s="302"/>
      <c r="L291" s="303">
        <f t="shared" si="69"/>
        <v>-34653.8081107814</v>
      </c>
      <c r="M291" s="308">
        <f t="shared" si="73"/>
        <v>155375.60668655267</v>
      </c>
      <c r="N291" s="310">
        <f t="shared" si="70"/>
        <v>120721.79857577127</v>
      </c>
      <c r="O291" s="302"/>
      <c r="P291" s="311" t="str">
        <f>Données!AC291</f>
        <v/>
      </c>
      <c r="Q291" s="307" t="str">
        <f>Données!AD291</f>
        <v/>
      </c>
      <c r="R291" s="302">
        <f t="shared" si="74"/>
        <v>0</v>
      </c>
      <c r="S291" s="308">
        <f t="shared" si="75"/>
        <v>0</v>
      </c>
      <c r="T291" s="302">
        <f t="shared" si="76"/>
        <v>26300.750056061752</v>
      </c>
      <c r="U291" s="312">
        <f t="shared" si="71"/>
        <v>26300.750056061752</v>
      </c>
    </row>
    <row r="292" spans="1:21" x14ac:dyDescent="0.25">
      <c r="A292" s="159">
        <f>Données!A292</f>
        <v>5922</v>
      </c>
      <c r="B292" s="160" t="str">
        <f>Données!B292</f>
        <v>Montagny-près-Yverdon</v>
      </c>
      <c r="C292" s="307">
        <f>Données!C292</f>
        <v>768</v>
      </c>
      <c r="D292" s="303">
        <f t="shared" si="67"/>
        <v>768</v>
      </c>
      <c r="E292" s="303">
        <f t="shared" si="72"/>
        <v>0</v>
      </c>
      <c r="F292" s="308">
        <f t="shared" si="79"/>
        <v>0</v>
      </c>
      <c r="G292" s="302">
        <f t="shared" si="79"/>
        <v>0</v>
      </c>
      <c r="H292" s="303">
        <f t="shared" si="79"/>
        <v>0</v>
      </c>
      <c r="I292" s="308">
        <f t="shared" si="79"/>
        <v>0</v>
      </c>
      <c r="J292" s="309">
        <f t="shared" si="68"/>
        <v>0</v>
      </c>
      <c r="K292" s="302"/>
      <c r="L292" s="303">
        <f t="shared" si="69"/>
        <v>-102362.0178041543</v>
      </c>
      <c r="M292" s="308">
        <f t="shared" si="73"/>
        <v>458955.63821258635</v>
      </c>
      <c r="N292" s="310">
        <f t="shared" si="70"/>
        <v>356593.62040843203</v>
      </c>
      <c r="O292" s="302"/>
      <c r="P292" s="311">
        <f>Données!AC292</f>
        <v>296541</v>
      </c>
      <c r="Q292" s="307">
        <f>Données!AD292</f>
        <v>0</v>
      </c>
      <c r="R292" s="302">
        <f t="shared" si="74"/>
        <v>296541</v>
      </c>
      <c r="S292" s="308">
        <f t="shared" si="75"/>
        <v>-177924.6</v>
      </c>
      <c r="T292" s="302">
        <f t="shared" si="76"/>
        <v>77688.369396367023</v>
      </c>
      <c r="U292" s="312">
        <f t="shared" si="71"/>
        <v>-100236.23060363298</v>
      </c>
    </row>
    <row r="293" spans="1:21" x14ac:dyDescent="0.25">
      <c r="A293" s="159">
        <f>Données!A293</f>
        <v>5923</v>
      </c>
      <c r="B293" s="160" t="str">
        <f>Données!B293</f>
        <v>Oppens</v>
      </c>
      <c r="C293" s="307">
        <f>Données!C293</f>
        <v>201</v>
      </c>
      <c r="D293" s="303">
        <f t="shared" si="67"/>
        <v>201</v>
      </c>
      <c r="E293" s="303">
        <f t="shared" si="72"/>
        <v>0</v>
      </c>
      <c r="F293" s="308">
        <f t="shared" si="79"/>
        <v>0</v>
      </c>
      <c r="G293" s="302">
        <f t="shared" si="79"/>
        <v>0</v>
      </c>
      <c r="H293" s="303">
        <f t="shared" si="79"/>
        <v>0</v>
      </c>
      <c r="I293" s="308">
        <f t="shared" si="79"/>
        <v>0</v>
      </c>
      <c r="J293" s="309">
        <f t="shared" si="68"/>
        <v>0</v>
      </c>
      <c r="K293" s="302"/>
      <c r="L293" s="303">
        <f t="shared" si="69"/>
        <v>-26790.059347181006</v>
      </c>
      <c r="M293" s="308">
        <f t="shared" si="73"/>
        <v>120117.29593845033</v>
      </c>
      <c r="N293" s="310">
        <f t="shared" si="70"/>
        <v>93327.23659126932</v>
      </c>
      <c r="O293" s="302"/>
      <c r="P293" s="311" t="str">
        <f>Données!AC293</f>
        <v/>
      </c>
      <c r="Q293" s="307" t="str">
        <f>Données!AD293</f>
        <v/>
      </c>
      <c r="R293" s="302">
        <f t="shared" si="74"/>
        <v>0</v>
      </c>
      <c r="S293" s="308">
        <f t="shared" si="75"/>
        <v>0</v>
      </c>
      <c r="T293" s="302">
        <f t="shared" si="76"/>
        <v>20332.502927955429</v>
      </c>
      <c r="U293" s="312">
        <f t="shared" si="71"/>
        <v>20332.502927955429</v>
      </c>
    </row>
    <row r="294" spans="1:21" x14ac:dyDescent="0.25">
      <c r="A294" s="159">
        <f>Données!A294</f>
        <v>5924</v>
      </c>
      <c r="B294" s="160" t="str">
        <f>Données!B294</f>
        <v>Orges</v>
      </c>
      <c r="C294" s="307">
        <f>Données!C294</f>
        <v>416</v>
      </c>
      <c r="D294" s="303">
        <f t="shared" si="67"/>
        <v>416</v>
      </c>
      <c r="E294" s="303">
        <f t="shared" si="72"/>
        <v>0</v>
      </c>
      <c r="F294" s="308">
        <f t="shared" si="79"/>
        <v>0</v>
      </c>
      <c r="G294" s="302">
        <f t="shared" si="79"/>
        <v>0</v>
      </c>
      <c r="H294" s="303">
        <f t="shared" si="79"/>
        <v>0</v>
      </c>
      <c r="I294" s="308">
        <f t="shared" si="79"/>
        <v>0</v>
      </c>
      <c r="J294" s="309">
        <f t="shared" si="68"/>
        <v>0</v>
      </c>
      <c r="K294" s="302"/>
      <c r="L294" s="303">
        <f t="shared" si="69"/>
        <v>-55446.092977250242</v>
      </c>
      <c r="M294" s="308">
        <f t="shared" si="73"/>
        <v>248600.97069848428</v>
      </c>
      <c r="N294" s="310">
        <f t="shared" si="70"/>
        <v>193154.87772123405</v>
      </c>
      <c r="O294" s="302"/>
      <c r="P294" s="311" t="str">
        <f>Données!AC294</f>
        <v/>
      </c>
      <c r="Q294" s="307" t="str">
        <f>Données!AD294</f>
        <v/>
      </c>
      <c r="R294" s="302">
        <f t="shared" si="74"/>
        <v>0</v>
      </c>
      <c r="S294" s="308">
        <f t="shared" si="75"/>
        <v>0</v>
      </c>
      <c r="T294" s="302">
        <f t="shared" si="76"/>
        <v>42081.200089698803</v>
      </c>
      <c r="U294" s="312">
        <f t="shared" si="71"/>
        <v>42081.200089698803</v>
      </c>
    </row>
    <row r="295" spans="1:21" x14ac:dyDescent="0.25">
      <c r="A295" s="159">
        <f>Données!A295</f>
        <v>5925</v>
      </c>
      <c r="B295" s="160" t="str">
        <f>Données!B295</f>
        <v>Orzens</v>
      </c>
      <c r="C295" s="307">
        <f>Données!C295</f>
        <v>216</v>
      </c>
      <c r="D295" s="303">
        <f t="shared" si="67"/>
        <v>216</v>
      </c>
      <c r="E295" s="303">
        <f t="shared" si="72"/>
        <v>0</v>
      </c>
      <c r="F295" s="308">
        <f t="shared" si="79"/>
        <v>0</v>
      </c>
      <c r="G295" s="302">
        <f t="shared" si="79"/>
        <v>0</v>
      </c>
      <c r="H295" s="303">
        <f t="shared" si="79"/>
        <v>0</v>
      </c>
      <c r="I295" s="308">
        <f t="shared" si="79"/>
        <v>0</v>
      </c>
      <c r="J295" s="309">
        <f t="shared" si="68"/>
        <v>0</v>
      </c>
      <c r="K295" s="302"/>
      <c r="L295" s="303">
        <f t="shared" si="69"/>
        <v>-28789.317507418396</v>
      </c>
      <c r="M295" s="308">
        <f t="shared" si="73"/>
        <v>129081.27324728991</v>
      </c>
      <c r="N295" s="310">
        <f t="shared" si="70"/>
        <v>100291.95573987151</v>
      </c>
      <c r="O295" s="302"/>
      <c r="P295" s="311" t="str">
        <f>Données!AC295</f>
        <v/>
      </c>
      <c r="Q295" s="307" t="str">
        <f>Données!AD295</f>
        <v/>
      </c>
      <c r="R295" s="302">
        <f t="shared" si="74"/>
        <v>0</v>
      </c>
      <c r="S295" s="308">
        <f t="shared" si="75"/>
        <v>0</v>
      </c>
      <c r="T295" s="302">
        <f t="shared" si="76"/>
        <v>21849.853892728224</v>
      </c>
      <c r="U295" s="312">
        <f t="shared" si="71"/>
        <v>21849.853892728224</v>
      </c>
    </row>
    <row r="296" spans="1:21" x14ac:dyDescent="0.25">
      <c r="A296" s="159">
        <f>Données!A296</f>
        <v>5926</v>
      </c>
      <c r="B296" s="160" t="str">
        <f>Données!B296</f>
        <v>Pomy</v>
      </c>
      <c r="C296" s="307">
        <f>Données!C296</f>
        <v>904</v>
      </c>
      <c r="D296" s="303">
        <f t="shared" si="67"/>
        <v>904</v>
      </c>
      <c r="E296" s="303">
        <f t="shared" si="72"/>
        <v>0</v>
      </c>
      <c r="F296" s="308">
        <f t="shared" si="79"/>
        <v>0</v>
      </c>
      <c r="G296" s="302">
        <f t="shared" si="79"/>
        <v>0</v>
      </c>
      <c r="H296" s="303">
        <f t="shared" si="79"/>
        <v>0</v>
      </c>
      <c r="I296" s="308">
        <f t="shared" si="79"/>
        <v>0</v>
      </c>
      <c r="J296" s="309">
        <f t="shared" si="68"/>
        <v>0</v>
      </c>
      <c r="K296" s="302"/>
      <c r="L296" s="303">
        <f t="shared" si="69"/>
        <v>-120488.62512363995</v>
      </c>
      <c r="M296" s="308">
        <f t="shared" si="73"/>
        <v>540229.03247939853</v>
      </c>
      <c r="N296" s="310">
        <f t="shared" si="70"/>
        <v>419740.40735575859</v>
      </c>
      <c r="O296" s="302"/>
      <c r="P296" s="311" t="str">
        <f>Données!AC296</f>
        <v/>
      </c>
      <c r="Q296" s="307" t="str">
        <f>Données!AD296</f>
        <v/>
      </c>
      <c r="R296" s="302">
        <f t="shared" si="74"/>
        <v>0</v>
      </c>
      <c r="S296" s="308">
        <f t="shared" si="75"/>
        <v>0</v>
      </c>
      <c r="T296" s="302">
        <f t="shared" si="76"/>
        <v>91445.684810307008</v>
      </c>
      <c r="U296" s="312">
        <f t="shared" si="71"/>
        <v>91445.684810307008</v>
      </c>
    </row>
    <row r="297" spans="1:21" x14ac:dyDescent="0.25">
      <c r="A297" s="159">
        <f>Données!A297</f>
        <v>5928</v>
      </c>
      <c r="B297" s="160" t="str">
        <f>Données!B297</f>
        <v>Rovray</v>
      </c>
      <c r="C297" s="307">
        <f>Données!C297</f>
        <v>198</v>
      </c>
      <c r="D297" s="303">
        <f t="shared" si="67"/>
        <v>198</v>
      </c>
      <c r="E297" s="303">
        <f t="shared" si="72"/>
        <v>0</v>
      </c>
      <c r="F297" s="308">
        <f t="shared" si="79"/>
        <v>0</v>
      </c>
      <c r="G297" s="302">
        <f t="shared" si="79"/>
        <v>0</v>
      </c>
      <c r="H297" s="303">
        <f t="shared" si="79"/>
        <v>0</v>
      </c>
      <c r="I297" s="308">
        <f t="shared" si="79"/>
        <v>0</v>
      </c>
      <c r="J297" s="309">
        <f t="shared" si="68"/>
        <v>0</v>
      </c>
      <c r="K297" s="302"/>
      <c r="L297" s="303">
        <f t="shared" si="69"/>
        <v>-26390.207715133529</v>
      </c>
      <c r="M297" s="308">
        <f t="shared" si="73"/>
        <v>118324.50047668241</v>
      </c>
      <c r="N297" s="310">
        <f t="shared" si="70"/>
        <v>91934.292761548888</v>
      </c>
      <c r="O297" s="302"/>
      <c r="P297" s="311" t="str">
        <f>Données!AC297</f>
        <v/>
      </c>
      <c r="Q297" s="307" t="str">
        <f>Données!AD297</f>
        <v/>
      </c>
      <c r="R297" s="302">
        <f t="shared" si="74"/>
        <v>0</v>
      </c>
      <c r="S297" s="308">
        <f t="shared" si="75"/>
        <v>0</v>
      </c>
      <c r="T297" s="302">
        <f t="shared" si="76"/>
        <v>20029.03273500087</v>
      </c>
      <c r="U297" s="312">
        <f t="shared" si="71"/>
        <v>20029.03273500087</v>
      </c>
    </row>
    <row r="298" spans="1:21" x14ac:dyDescent="0.25">
      <c r="A298" s="159">
        <f>Données!A298</f>
        <v>5929</v>
      </c>
      <c r="B298" s="160" t="str">
        <f>Données!B298</f>
        <v>Suchy</v>
      </c>
      <c r="C298" s="307">
        <f>Données!C298</f>
        <v>672</v>
      </c>
      <c r="D298" s="303">
        <f t="shared" si="67"/>
        <v>672</v>
      </c>
      <c r="E298" s="303">
        <f t="shared" si="72"/>
        <v>0</v>
      </c>
      <c r="F298" s="308">
        <f t="shared" si="79"/>
        <v>0</v>
      </c>
      <c r="G298" s="302">
        <f t="shared" si="79"/>
        <v>0</v>
      </c>
      <c r="H298" s="303">
        <f t="shared" si="79"/>
        <v>0</v>
      </c>
      <c r="I298" s="308">
        <f t="shared" si="79"/>
        <v>0</v>
      </c>
      <c r="J298" s="309">
        <f t="shared" si="68"/>
        <v>0</v>
      </c>
      <c r="K298" s="302"/>
      <c r="L298" s="303">
        <f t="shared" si="69"/>
        <v>-89566.765578635008</v>
      </c>
      <c r="M298" s="308">
        <f t="shared" si="73"/>
        <v>401586.18343601306</v>
      </c>
      <c r="N298" s="310">
        <f t="shared" si="70"/>
        <v>312019.41785737802</v>
      </c>
      <c r="O298" s="302"/>
      <c r="P298" s="311" t="str">
        <f>Données!AC298</f>
        <v/>
      </c>
      <c r="Q298" s="307" t="str">
        <f>Données!AD298</f>
        <v/>
      </c>
      <c r="R298" s="302">
        <f t="shared" si="74"/>
        <v>0</v>
      </c>
      <c r="S298" s="308">
        <f t="shared" si="75"/>
        <v>0</v>
      </c>
      <c r="T298" s="302">
        <f t="shared" si="76"/>
        <v>67977.323221821134</v>
      </c>
      <c r="U298" s="312">
        <f t="shared" si="71"/>
        <v>67977.323221821134</v>
      </c>
    </row>
    <row r="299" spans="1:21" x14ac:dyDescent="0.25">
      <c r="A299" s="159">
        <f>Données!A299</f>
        <v>5930</v>
      </c>
      <c r="B299" s="160" t="str">
        <f>Données!B299</f>
        <v>Suscévaz</v>
      </c>
      <c r="C299" s="307">
        <f>Données!C299</f>
        <v>263</v>
      </c>
      <c r="D299" s="303">
        <f t="shared" si="67"/>
        <v>263</v>
      </c>
      <c r="E299" s="303">
        <f t="shared" si="72"/>
        <v>0</v>
      </c>
      <c r="F299" s="308">
        <f t="shared" ref="F299:I307" si="80">IF($C299&lt;F$4,0,IF($C299&gt;F$5,F$5-F$4,$C299-F$4))</f>
        <v>0</v>
      </c>
      <c r="G299" s="302">
        <f t="shared" si="80"/>
        <v>0</v>
      </c>
      <c r="H299" s="303">
        <f t="shared" si="80"/>
        <v>0</v>
      </c>
      <c r="I299" s="308">
        <f t="shared" si="80"/>
        <v>0</v>
      </c>
      <c r="J299" s="309">
        <f t="shared" si="68"/>
        <v>0</v>
      </c>
      <c r="K299" s="302"/>
      <c r="L299" s="303">
        <f t="shared" si="69"/>
        <v>-35053.659742828881</v>
      </c>
      <c r="M299" s="308">
        <f t="shared" si="73"/>
        <v>157168.40214832057</v>
      </c>
      <c r="N299" s="310">
        <f t="shared" si="70"/>
        <v>122114.74240549169</v>
      </c>
      <c r="O299" s="302"/>
      <c r="P299" s="311" t="str">
        <f>Données!AC299</f>
        <v/>
      </c>
      <c r="Q299" s="307" t="str">
        <f>Données!AD299</f>
        <v/>
      </c>
      <c r="R299" s="302">
        <f t="shared" si="74"/>
        <v>0</v>
      </c>
      <c r="S299" s="308">
        <f t="shared" si="75"/>
        <v>0</v>
      </c>
      <c r="T299" s="302">
        <f t="shared" si="76"/>
        <v>26604.220249016307</v>
      </c>
      <c r="U299" s="312">
        <f t="shared" si="71"/>
        <v>26604.220249016307</v>
      </c>
    </row>
    <row r="300" spans="1:21" x14ac:dyDescent="0.25">
      <c r="A300" s="159">
        <f>Données!A300</f>
        <v>5931</v>
      </c>
      <c r="B300" s="160" t="str">
        <f>Données!B300</f>
        <v>Treycovagnes</v>
      </c>
      <c r="C300" s="307">
        <f>Données!C300</f>
        <v>518</v>
      </c>
      <c r="D300" s="303">
        <f t="shared" si="67"/>
        <v>518</v>
      </c>
      <c r="E300" s="303">
        <f t="shared" si="72"/>
        <v>0</v>
      </c>
      <c r="F300" s="308">
        <f t="shared" si="80"/>
        <v>0</v>
      </c>
      <c r="G300" s="302">
        <f t="shared" si="80"/>
        <v>0</v>
      </c>
      <c r="H300" s="303">
        <f t="shared" si="80"/>
        <v>0</v>
      </c>
      <c r="I300" s="308">
        <f t="shared" si="80"/>
        <v>0</v>
      </c>
      <c r="J300" s="309">
        <f t="shared" si="68"/>
        <v>0</v>
      </c>
      <c r="K300" s="302"/>
      <c r="L300" s="303">
        <f t="shared" si="69"/>
        <v>-69041.048466864493</v>
      </c>
      <c r="M300" s="308">
        <f t="shared" si="73"/>
        <v>309556.01639859338</v>
      </c>
      <c r="N300" s="310">
        <f t="shared" si="70"/>
        <v>240514.96793172887</v>
      </c>
      <c r="O300" s="302"/>
      <c r="P300" s="311" t="str">
        <f>Données!AC300</f>
        <v/>
      </c>
      <c r="Q300" s="307" t="str">
        <f>Données!AD300</f>
        <v/>
      </c>
      <c r="R300" s="302">
        <f t="shared" si="74"/>
        <v>0</v>
      </c>
      <c r="S300" s="308">
        <f t="shared" si="75"/>
        <v>0</v>
      </c>
      <c r="T300" s="302">
        <f t="shared" si="76"/>
        <v>52399.186650153795</v>
      </c>
      <c r="U300" s="312">
        <f t="shared" si="71"/>
        <v>52399.186650153795</v>
      </c>
    </row>
    <row r="301" spans="1:21" x14ac:dyDescent="0.25">
      <c r="A301" s="159">
        <f>Données!A301</f>
        <v>5932</v>
      </c>
      <c r="B301" s="160" t="str">
        <f>Données!B301</f>
        <v>Ursins</v>
      </c>
      <c r="C301" s="307">
        <f>Données!C301</f>
        <v>227</v>
      </c>
      <c r="D301" s="303">
        <f t="shared" si="67"/>
        <v>227</v>
      </c>
      <c r="E301" s="303">
        <f t="shared" si="72"/>
        <v>0</v>
      </c>
      <c r="F301" s="308">
        <f t="shared" si="80"/>
        <v>0</v>
      </c>
      <c r="G301" s="302">
        <f t="shared" si="80"/>
        <v>0</v>
      </c>
      <c r="H301" s="303">
        <f t="shared" si="80"/>
        <v>0</v>
      </c>
      <c r="I301" s="308">
        <f t="shared" si="80"/>
        <v>0</v>
      </c>
      <c r="J301" s="309">
        <f t="shared" si="68"/>
        <v>0</v>
      </c>
      <c r="K301" s="302"/>
      <c r="L301" s="303">
        <f t="shared" si="69"/>
        <v>-30255.440158259149</v>
      </c>
      <c r="M301" s="308">
        <f t="shared" si="73"/>
        <v>135654.85660710561</v>
      </c>
      <c r="N301" s="310">
        <f t="shared" si="70"/>
        <v>105399.41644884646</v>
      </c>
      <c r="O301" s="302"/>
      <c r="P301" s="311" t="str">
        <f>Données!AC301</f>
        <v/>
      </c>
      <c r="Q301" s="307" t="str">
        <f>Données!AD301</f>
        <v/>
      </c>
      <c r="R301" s="302">
        <f t="shared" si="74"/>
        <v>0</v>
      </c>
      <c r="S301" s="308">
        <f t="shared" si="75"/>
        <v>0</v>
      </c>
      <c r="T301" s="302">
        <f t="shared" si="76"/>
        <v>22962.577933561606</v>
      </c>
      <c r="U301" s="312">
        <f t="shared" si="71"/>
        <v>22962.577933561606</v>
      </c>
    </row>
    <row r="302" spans="1:21" x14ac:dyDescent="0.25">
      <c r="A302" s="159">
        <f>Données!A302</f>
        <v>5933</v>
      </c>
      <c r="B302" s="160" t="str">
        <f>Données!B302</f>
        <v>Valeyres-sous-Montagny</v>
      </c>
      <c r="C302" s="307">
        <f>Données!C302</f>
        <v>717</v>
      </c>
      <c r="D302" s="303">
        <f t="shared" si="67"/>
        <v>717</v>
      </c>
      <c r="E302" s="303">
        <f t="shared" si="72"/>
        <v>0</v>
      </c>
      <c r="F302" s="308">
        <f t="shared" si="80"/>
        <v>0</v>
      </c>
      <c r="G302" s="302">
        <f t="shared" si="80"/>
        <v>0</v>
      </c>
      <c r="H302" s="303">
        <f t="shared" si="80"/>
        <v>0</v>
      </c>
      <c r="I302" s="308">
        <f t="shared" si="80"/>
        <v>0</v>
      </c>
      <c r="J302" s="309">
        <f t="shared" si="68"/>
        <v>0</v>
      </c>
      <c r="K302" s="302"/>
      <c r="L302" s="303">
        <f t="shared" si="69"/>
        <v>-95564.540059347171</v>
      </c>
      <c r="M302" s="308">
        <f t="shared" si="73"/>
        <v>428478.1153625318</v>
      </c>
      <c r="N302" s="310">
        <f t="shared" si="70"/>
        <v>332913.57530318463</v>
      </c>
      <c r="O302" s="302"/>
      <c r="P302" s="311" t="str">
        <f>Données!AC302</f>
        <v/>
      </c>
      <c r="Q302" s="307" t="str">
        <f>Données!AD302</f>
        <v/>
      </c>
      <c r="R302" s="302">
        <f t="shared" si="74"/>
        <v>0</v>
      </c>
      <c r="S302" s="308">
        <f t="shared" si="75"/>
        <v>0</v>
      </c>
      <c r="T302" s="302">
        <f t="shared" si="76"/>
        <v>72529.376116139523</v>
      </c>
      <c r="U302" s="312">
        <f t="shared" si="71"/>
        <v>72529.376116139523</v>
      </c>
    </row>
    <row r="303" spans="1:21" x14ac:dyDescent="0.25">
      <c r="A303" s="159">
        <f>Données!A303</f>
        <v>5934</v>
      </c>
      <c r="B303" s="160" t="str">
        <f>Données!B303</f>
        <v>Valeyres-sous-Ursins</v>
      </c>
      <c r="C303" s="307">
        <f>Données!C303</f>
        <v>225</v>
      </c>
      <c r="D303" s="303">
        <f t="shared" si="67"/>
        <v>225</v>
      </c>
      <c r="E303" s="303">
        <f t="shared" si="72"/>
        <v>0</v>
      </c>
      <c r="F303" s="308">
        <f t="shared" si="80"/>
        <v>0</v>
      </c>
      <c r="G303" s="302">
        <f t="shared" si="80"/>
        <v>0</v>
      </c>
      <c r="H303" s="303">
        <f t="shared" si="80"/>
        <v>0</v>
      </c>
      <c r="I303" s="308">
        <f t="shared" si="80"/>
        <v>0</v>
      </c>
      <c r="J303" s="309">
        <f t="shared" si="68"/>
        <v>0</v>
      </c>
      <c r="K303" s="302"/>
      <c r="L303" s="303">
        <f t="shared" si="69"/>
        <v>-29988.872403560828</v>
      </c>
      <c r="M303" s="308">
        <f t="shared" si="73"/>
        <v>134459.65963259366</v>
      </c>
      <c r="N303" s="310">
        <f t="shared" si="70"/>
        <v>104470.78722903282</v>
      </c>
      <c r="O303" s="302"/>
      <c r="P303" s="311" t="str">
        <f>Données!AC303</f>
        <v/>
      </c>
      <c r="Q303" s="307" t="str">
        <f>Données!AD303</f>
        <v/>
      </c>
      <c r="R303" s="302">
        <f t="shared" si="74"/>
        <v>0</v>
      </c>
      <c r="S303" s="308">
        <f t="shared" si="75"/>
        <v>0</v>
      </c>
      <c r="T303" s="302">
        <f t="shared" si="76"/>
        <v>22760.264471591898</v>
      </c>
      <c r="U303" s="312">
        <f t="shared" si="71"/>
        <v>22760.264471591898</v>
      </c>
    </row>
    <row r="304" spans="1:21" x14ac:dyDescent="0.25">
      <c r="A304" s="159">
        <f>Données!A304</f>
        <v>5935</v>
      </c>
      <c r="B304" s="160" t="str">
        <f>Données!B304</f>
        <v>Villars-Epeney</v>
      </c>
      <c r="C304" s="307">
        <f>Données!C304</f>
        <v>109</v>
      </c>
      <c r="D304" s="303">
        <f t="shared" si="67"/>
        <v>109</v>
      </c>
      <c r="E304" s="303">
        <f t="shared" si="72"/>
        <v>0</v>
      </c>
      <c r="F304" s="308">
        <f t="shared" si="80"/>
        <v>0</v>
      </c>
      <c r="G304" s="302">
        <f t="shared" si="80"/>
        <v>0</v>
      </c>
      <c r="H304" s="303">
        <f t="shared" si="80"/>
        <v>0</v>
      </c>
      <c r="I304" s="308">
        <f t="shared" si="80"/>
        <v>0</v>
      </c>
      <c r="J304" s="309">
        <f t="shared" si="68"/>
        <v>0</v>
      </c>
      <c r="K304" s="302"/>
      <c r="L304" s="303">
        <f t="shared" si="69"/>
        <v>-14527.942631058357</v>
      </c>
      <c r="M304" s="308">
        <f t="shared" si="73"/>
        <v>65138.235110900925</v>
      </c>
      <c r="N304" s="310">
        <f t="shared" si="70"/>
        <v>50610.292479842567</v>
      </c>
      <c r="O304" s="302"/>
      <c r="P304" s="311" t="str">
        <f>Données!AC304</f>
        <v/>
      </c>
      <c r="Q304" s="307" t="str">
        <f>Données!AD304</f>
        <v/>
      </c>
      <c r="R304" s="302">
        <f t="shared" si="74"/>
        <v>0</v>
      </c>
      <c r="S304" s="308">
        <f t="shared" si="75"/>
        <v>0</v>
      </c>
      <c r="T304" s="302">
        <f t="shared" si="76"/>
        <v>11026.083677348965</v>
      </c>
      <c r="U304" s="312">
        <f t="shared" si="71"/>
        <v>11026.083677348965</v>
      </c>
    </row>
    <row r="305" spans="1:21" x14ac:dyDescent="0.25">
      <c r="A305" s="159">
        <f>Données!A305</f>
        <v>5937</v>
      </c>
      <c r="B305" s="160" t="str">
        <f>Données!B305</f>
        <v>Vugelles-La Mothe</v>
      </c>
      <c r="C305" s="307">
        <f>Données!C305</f>
        <v>142</v>
      </c>
      <c r="D305" s="303">
        <f t="shared" si="67"/>
        <v>142</v>
      </c>
      <c r="E305" s="303">
        <f t="shared" si="72"/>
        <v>0</v>
      </c>
      <c r="F305" s="308">
        <f t="shared" si="80"/>
        <v>0</v>
      </c>
      <c r="G305" s="302">
        <f t="shared" si="80"/>
        <v>0</v>
      </c>
      <c r="H305" s="303">
        <f t="shared" si="80"/>
        <v>0</v>
      </c>
      <c r="I305" s="308">
        <f t="shared" si="80"/>
        <v>0</v>
      </c>
      <c r="J305" s="309">
        <f t="shared" si="68"/>
        <v>0</v>
      </c>
      <c r="K305" s="302"/>
      <c r="L305" s="303">
        <f t="shared" si="69"/>
        <v>-18926.310583580613</v>
      </c>
      <c r="M305" s="308">
        <f t="shared" si="73"/>
        <v>84858.985190348001</v>
      </c>
      <c r="N305" s="310">
        <f t="shared" si="70"/>
        <v>65932.674606767396</v>
      </c>
      <c r="O305" s="302"/>
      <c r="P305" s="311" t="str">
        <f>Données!AC305</f>
        <v/>
      </c>
      <c r="Q305" s="307" t="str">
        <f>Données!AD305</f>
        <v/>
      </c>
      <c r="R305" s="302">
        <f t="shared" si="74"/>
        <v>0</v>
      </c>
      <c r="S305" s="308">
        <f t="shared" si="75"/>
        <v>0</v>
      </c>
      <c r="T305" s="302">
        <f t="shared" si="76"/>
        <v>14364.25579984911</v>
      </c>
      <c r="U305" s="312">
        <f t="shared" si="71"/>
        <v>14364.25579984911</v>
      </c>
    </row>
    <row r="306" spans="1:21" x14ac:dyDescent="0.25">
      <c r="A306" s="159">
        <f>Données!A306</f>
        <v>5938</v>
      </c>
      <c r="B306" s="160" t="str">
        <f>Données!B306</f>
        <v>Yverdon-les-Bains</v>
      </c>
      <c r="C306" s="307">
        <f>Données!C306</f>
        <v>30600</v>
      </c>
      <c r="D306" s="303">
        <f t="shared" si="67"/>
        <v>1000</v>
      </c>
      <c r="E306" s="303">
        <f t="shared" si="72"/>
        <v>2000</v>
      </c>
      <c r="F306" s="308">
        <f t="shared" si="80"/>
        <v>9000</v>
      </c>
      <c r="G306" s="302">
        <f t="shared" si="80"/>
        <v>3000</v>
      </c>
      <c r="H306" s="303">
        <f t="shared" si="80"/>
        <v>15000</v>
      </c>
      <c r="I306" s="308">
        <f t="shared" si="80"/>
        <v>600</v>
      </c>
      <c r="J306" s="309">
        <f t="shared" si="68"/>
        <v>0</v>
      </c>
      <c r="K306" s="302"/>
      <c r="L306" s="303">
        <f t="shared" si="69"/>
        <v>-27573768.545994066</v>
      </c>
      <c r="M306" s="308">
        <f t="shared" si="73"/>
        <v>18286513.710032739</v>
      </c>
      <c r="N306" s="310">
        <f>SUM(L306:M306)</f>
        <v>-9287254.835961327</v>
      </c>
      <c r="O306" s="302"/>
      <c r="P306" s="311">
        <f>Données!AC306</f>
        <v>6444929</v>
      </c>
      <c r="Q306" s="307">
        <f>Données!AD306</f>
        <v>0</v>
      </c>
      <c r="R306" s="302">
        <f t="shared" si="74"/>
        <v>6444929</v>
      </c>
      <c r="S306" s="308">
        <f t="shared" si="75"/>
        <v>-3866957.4</v>
      </c>
      <c r="T306" s="302">
        <f t="shared" si="76"/>
        <v>3095395.9681364982</v>
      </c>
      <c r="U306" s="312">
        <f t="shared" si="71"/>
        <v>-771561.43186350167</v>
      </c>
    </row>
    <row r="307" spans="1:21" x14ac:dyDescent="0.25">
      <c r="A307" s="161">
        <f>Données!A307</f>
        <v>5939</v>
      </c>
      <c r="B307" s="162" t="str">
        <f>Données!B307</f>
        <v>Yvonand</v>
      </c>
      <c r="C307" s="313">
        <f>Données!C307</f>
        <v>3536</v>
      </c>
      <c r="D307" s="314">
        <f t="shared" si="67"/>
        <v>1000</v>
      </c>
      <c r="E307" s="314">
        <f t="shared" si="72"/>
        <v>2000</v>
      </c>
      <c r="F307" s="315">
        <f t="shared" si="80"/>
        <v>536</v>
      </c>
      <c r="G307" s="316">
        <f t="shared" si="80"/>
        <v>0</v>
      </c>
      <c r="H307" s="314">
        <f t="shared" si="80"/>
        <v>0</v>
      </c>
      <c r="I307" s="315">
        <f t="shared" si="80"/>
        <v>0</v>
      </c>
      <c r="J307" s="317">
        <f t="shared" si="68"/>
        <v>0</v>
      </c>
      <c r="K307" s="302"/>
      <c r="L307" s="303">
        <f t="shared" si="69"/>
        <v>-1236874.381800198</v>
      </c>
      <c r="M307" s="315">
        <f t="shared" si="73"/>
        <v>2113108.2509371163</v>
      </c>
      <c r="N307" s="318">
        <f t="shared" si="70"/>
        <v>876233.86913691834</v>
      </c>
      <c r="O307" s="302"/>
      <c r="P307" s="319" t="str">
        <f>Données!AC307</f>
        <v/>
      </c>
      <c r="Q307" s="313" t="str">
        <f>Données!AD307</f>
        <v/>
      </c>
      <c r="R307" s="316">
        <f t="shared" si="74"/>
        <v>0</v>
      </c>
      <c r="S307" s="315">
        <f t="shared" si="75"/>
        <v>0</v>
      </c>
      <c r="T307" s="316">
        <f t="shared" si="76"/>
        <v>357690.20076243981</v>
      </c>
      <c r="U307" s="320">
        <f t="shared" si="71"/>
        <v>357690.20076243981</v>
      </c>
    </row>
    <row r="308" spans="1:21" x14ac:dyDescent="0.25">
      <c r="A308" s="6"/>
      <c r="C308" s="314">
        <f t="shared" ref="C308:N308" si="81">SUM(C8:C307)</f>
        <v>864226</v>
      </c>
      <c r="D308" s="314">
        <f t="shared" si="81"/>
        <v>217316</v>
      </c>
      <c r="E308" s="314">
        <f t="shared" si="81"/>
        <v>177344</v>
      </c>
      <c r="F308" s="314">
        <f t="shared" si="81"/>
        <v>252318</v>
      </c>
      <c r="G308" s="314">
        <f t="shared" si="81"/>
        <v>30674</v>
      </c>
      <c r="H308" s="314">
        <f t="shared" si="81"/>
        <v>70267</v>
      </c>
      <c r="I308" s="314">
        <f t="shared" si="81"/>
        <v>15600</v>
      </c>
      <c r="J308" s="315">
        <f t="shared" si="81"/>
        <v>100707</v>
      </c>
      <c r="K308" s="302"/>
      <c r="L308" s="321">
        <f t="shared" si="81"/>
        <v>-516460150.24727947</v>
      </c>
      <c r="M308" s="315">
        <f t="shared" si="81"/>
        <v>516460150.24727935</v>
      </c>
      <c r="N308" s="320">
        <f t="shared" si="81"/>
        <v>-3.9488077163696289E-7</v>
      </c>
      <c r="O308" s="322"/>
      <c r="P308" s="315">
        <f>SUM(P8:P307)</f>
        <v>166909162.92999998</v>
      </c>
      <c r="Q308" s="315">
        <f t="shared" ref="Q308:R308" si="82">SUM(Q8:Q307)</f>
        <v>-21205367.943140864</v>
      </c>
      <c r="R308" s="315">
        <f t="shared" si="82"/>
        <v>145703794.98685911</v>
      </c>
      <c r="S308" s="315">
        <f>SUM(S8:S307)</f>
        <v>-87422276.992115468</v>
      </c>
      <c r="T308" s="315">
        <f>SUM(T8:T307)</f>
        <v>87422276.992115542</v>
      </c>
      <c r="U308" s="323">
        <f t="shared" si="71"/>
        <v>0</v>
      </c>
    </row>
  </sheetData>
  <sheetProtection sheet="1" objects="1" scenarios="1"/>
  <sortState xmlns:xlrd2="http://schemas.microsoft.com/office/spreadsheetml/2017/richdata2" ref="P8:P307">
    <sortCondition ref="P8:P307"/>
  </sortState>
  <mergeCells count="8">
    <mergeCell ref="D7:J7"/>
    <mergeCell ref="C3:J3"/>
    <mergeCell ref="L3:N4"/>
    <mergeCell ref="P3:U4"/>
    <mergeCell ref="L5:M5"/>
    <mergeCell ref="P5:Q5"/>
    <mergeCell ref="P6:Q6"/>
    <mergeCell ref="R5:T5"/>
  </mergeCells>
  <conditionalFormatting sqref="N6">
    <cfRule type="cellIs" dxfId="39" priority="5" operator="equal">
      <formula>"ERREUR"</formula>
    </cfRule>
    <cfRule type="cellIs" dxfId="38" priority="6" operator="equal">
      <formula>"OK"</formula>
    </cfRule>
  </conditionalFormatting>
  <conditionalFormatting sqref="U6">
    <cfRule type="cellIs" dxfId="37" priority="3" operator="equal">
      <formula>"ERREUR"</formula>
    </cfRule>
    <cfRule type="cellIs" dxfId="36" priority="4" operator="equal">
      <formula>"OK"</formula>
    </cfRule>
  </conditionalFormatting>
  <hyperlinks>
    <hyperlink ref="H1" location="'Table des matières'!A1" display="Table des matières" xr:uid="{68B5EB3E-C032-4ABE-9994-8076DBD715A8}"/>
    <hyperlink ref="I1" location="PCS!A1" display="Suivant →" xr:uid="{CD279857-CF2A-4EF3-ABB8-C973D0F1B0A9}"/>
    <hyperlink ref="G1" location="'Besoins structurels'!A1" display="← Précédent" xr:uid="{4D11845C-D6AC-4956-AB1F-CCEBFA188C93}"/>
  </hyperlinks>
  <pageMargins left="0.25" right="0.25"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CAC78-F23B-409E-A18A-1E462CBD6E81}">
  <sheetPr codeName="Feuil5">
    <tabColor rgb="FFFFE6FF"/>
    <pageSetUpPr autoPageBreaks="0"/>
  </sheetPr>
  <dimension ref="A1:H308"/>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6.140625" style="1" customWidth="1"/>
    <col min="3" max="3" width="13.85546875" style="1" customWidth="1"/>
    <col min="4" max="4" width="17.140625" style="1" customWidth="1"/>
    <col min="5" max="6" width="14.28515625" style="1" customWidth="1"/>
    <col min="7" max="16384" width="11.42578125" style="1"/>
  </cols>
  <sheetData>
    <row r="1" spans="1:8" ht="26.25" x14ac:dyDescent="0.25">
      <c r="A1" s="8" t="s">
        <v>34</v>
      </c>
      <c r="E1" s="96" t="s">
        <v>441</v>
      </c>
      <c r="F1" s="98" t="s">
        <v>442</v>
      </c>
      <c r="G1" s="99" t="s">
        <v>443</v>
      </c>
      <c r="H1" s="77"/>
    </row>
    <row r="2" spans="1:8" ht="15" customHeight="1" x14ac:dyDescent="0.25">
      <c r="A2" s="48" t="str">
        <f>_xlfn.CONCAT(Paramètres!M5," ",Paramètres!N5)</f>
        <v>Décompte final 2025</v>
      </c>
    </row>
    <row r="3" spans="1:8" ht="15" customHeight="1" x14ac:dyDescent="0.25">
      <c r="F3" s="70"/>
    </row>
    <row r="4" spans="1:8" ht="15" customHeight="1" x14ac:dyDescent="0.25">
      <c r="A4" s="581" t="s">
        <v>496</v>
      </c>
      <c r="B4" s="582"/>
      <c r="C4" s="583"/>
      <c r="D4" s="587">
        <f>Paramètres!K6</f>
        <v>841431539</v>
      </c>
    </row>
    <row r="5" spans="1:8" ht="15" customHeight="1" x14ac:dyDescent="0.25">
      <c r="A5" s="584"/>
      <c r="B5" s="585"/>
      <c r="C5" s="586"/>
      <c r="D5" s="588"/>
    </row>
    <row r="6" spans="1:8" ht="15" customHeight="1" x14ac:dyDescent="0.25"/>
    <row r="7" spans="1:8" ht="37.5" customHeight="1" x14ac:dyDescent="0.25">
      <c r="A7" s="147" t="s">
        <v>0</v>
      </c>
      <c r="B7" s="147" t="s">
        <v>1</v>
      </c>
      <c r="C7" s="72" t="s">
        <v>29</v>
      </c>
      <c r="D7" s="212" t="s">
        <v>14</v>
      </c>
    </row>
    <row r="8" spans="1:8" ht="15" customHeight="1" x14ac:dyDescent="0.25">
      <c r="A8" s="110">
        <f>Données!A8</f>
        <v>5401</v>
      </c>
      <c r="B8" s="118" t="str">
        <f>Données!B8</f>
        <v>Aigle</v>
      </c>
      <c r="C8" s="324">
        <f>Données!C8</f>
        <v>12081</v>
      </c>
      <c r="D8" s="325">
        <f t="shared" ref="D8:D71" si="0">$D$4/$C$308*C8</f>
        <v>11762356.632014079</v>
      </c>
    </row>
    <row r="9" spans="1:8" ht="15" customHeight="1" x14ac:dyDescent="0.25">
      <c r="A9" s="111">
        <f>Données!A9</f>
        <v>5402</v>
      </c>
      <c r="B9" s="119" t="str">
        <f>Données!B9</f>
        <v>Bex</v>
      </c>
      <c r="C9" s="326">
        <f>Données!C9</f>
        <v>8923</v>
      </c>
      <c r="D9" s="327">
        <f t="shared" si="0"/>
        <v>8687650.7099959962</v>
      </c>
    </row>
    <row r="10" spans="1:8" x14ac:dyDescent="0.25">
      <c r="A10" s="111">
        <f>Données!A10</f>
        <v>5403</v>
      </c>
      <c r="B10" s="119" t="str">
        <f>Données!B10</f>
        <v>Chessel</v>
      </c>
      <c r="C10" s="326">
        <f>Données!C10</f>
        <v>525</v>
      </c>
      <c r="D10" s="327">
        <f t="shared" si="0"/>
        <v>511152.82110813604</v>
      </c>
    </row>
    <row r="11" spans="1:8" x14ac:dyDescent="0.25">
      <c r="A11" s="111">
        <f>Données!A11</f>
        <v>5404</v>
      </c>
      <c r="B11" s="119" t="str">
        <f>Données!B11</f>
        <v>Corbeyrier</v>
      </c>
      <c r="C11" s="326">
        <f>Données!C11</f>
        <v>456</v>
      </c>
      <c r="D11" s="327">
        <f t="shared" si="0"/>
        <v>443972.7360482096</v>
      </c>
    </row>
    <row r="12" spans="1:8" x14ac:dyDescent="0.25">
      <c r="A12" s="111">
        <f>Données!A12</f>
        <v>5405</v>
      </c>
      <c r="B12" s="119" t="str">
        <f>Données!B12</f>
        <v>Gryon</v>
      </c>
      <c r="C12" s="326">
        <f>Données!C12</f>
        <v>1546</v>
      </c>
      <c r="D12" s="327">
        <f t="shared" si="0"/>
        <v>1505223.355110816</v>
      </c>
    </row>
    <row r="13" spans="1:8" x14ac:dyDescent="0.25">
      <c r="A13" s="111">
        <f>Données!A13</f>
        <v>5406</v>
      </c>
      <c r="B13" s="119" t="str">
        <f>Données!B13</f>
        <v>Lavey-Morcles</v>
      </c>
      <c r="C13" s="326">
        <f>Données!C13</f>
        <v>1024</v>
      </c>
      <c r="D13" s="327">
        <f t="shared" si="0"/>
        <v>996991.40726615489</v>
      </c>
    </row>
    <row r="14" spans="1:8" ht="15" customHeight="1" x14ac:dyDescent="0.25">
      <c r="A14" s="111">
        <f>Données!A14</f>
        <v>5407</v>
      </c>
      <c r="B14" s="119" t="str">
        <f>Données!B14</f>
        <v>Leysin</v>
      </c>
      <c r="C14" s="326">
        <f>Données!C14</f>
        <v>3722</v>
      </c>
      <c r="D14" s="327">
        <f t="shared" si="0"/>
        <v>3623830.0955513949</v>
      </c>
    </row>
    <row r="15" spans="1:8" ht="15" customHeight="1" x14ac:dyDescent="0.25">
      <c r="A15" s="111">
        <f>Données!A15</f>
        <v>5408</v>
      </c>
      <c r="B15" s="119" t="str">
        <f>Données!B15</f>
        <v>Noville</v>
      </c>
      <c r="C15" s="326">
        <f>Données!C15</f>
        <v>1214</v>
      </c>
      <c r="D15" s="327">
        <f t="shared" si="0"/>
        <v>1181980.0472862422</v>
      </c>
    </row>
    <row r="16" spans="1:8" x14ac:dyDescent="0.25">
      <c r="A16" s="111">
        <f>Données!A16</f>
        <v>5409</v>
      </c>
      <c r="B16" s="119" t="str">
        <f>Données!B16</f>
        <v>Ollon</v>
      </c>
      <c r="C16" s="326">
        <f>Données!C16</f>
        <v>8302</v>
      </c>
      <c r="D16" s="327">
        <f t="shared" si="0"/>
        <v>8083029.9444566583</v>
      </c>
    </row>
    <row r="17" spans="1:4" x14ac:dyDescent="0.25">
      <c r="A17" s="111">
        <f>Données!A17</f>
        <v>5410</v>
      </c>
      <c r="B17" s="119" t="str">
        <f>Données!B17</f>
        <v>Ormont-Dessous</v>
      </c>
      <c r="C17" s="326">
        <f>Données!C17</f>
        <v>1261</v>
      </c>
      <c r="D17" s="327">
        <f t="shared" si="0"/>
        <v>1227740.3950806849</v>
      </c>
    </row>
    <row r="18" spans="1:4" x14ac:dyDescent="0.25">
      <c r="A18" s="111">
        <f>Données!A18</f>
        <v>5411</v>
      </c>
      <c r="B18" s="119" t="str">
        <f>Données!B18</f>
        <v>Ormont-Dessus</v>
      </c>
      <c r="C18" s="326">
        <f>Données!C18</f>
        <v>1440</v>
      </c>
      <c r="D18" s="327">
        <f t="shared" si="0"/>
        <v>1402019.1664680303</v>
      </c>
    </row>
    <row r="19" spans="1:4" x14ac:dyDescent="0.25">
      <c r="A19" s="111">
        <f>Données!A19</f>
        <v>5412</v>
      </c>
      <c r="B19" s="119" t="str">
        <f>Données!B19</f>
        <v>Rennaz</v>
      </c>
      <c r="C19" s="326">
        <f>Données!C19</f>
        <v>935</v>
      </c>
      <c r="D19" s="327">
        <f t="shared" si="0"/>
        <v>910338.83378306136</v>
      </c>
    </row>
    <row r="20" spans="1:4" ht="15" customHeight="1" x14ac:dyDescent="0.25">
      <c r="A20" s="111">
        <f>Données!A20</f>
        <v>5413</v>
      </c>
      <c r="B20" s="119" t="str">
        <f>Données!B20</f>
        <v>Roche</v>
      </c>
      <c r="C20" s="326">
        <f>Données!C20</f>
        <v>2035</v>
      </c>
      <c r="D20" s="327">
        <f t="shared" si="0"/>
        <v>1981325.6970572511</v>
      </c>
    </row>
    <row r="21" spans="1:4" ht="15" customHeight="1" x14ac:dyDescent="0.25">
      <c r="A21" s="111">
        <f>Données!A21</f>
        <v>5414</v>
      </c>
      <c r="B21" s="119" t="str">
        <f>Données!B21</f>
        <v>Villeneuve</v>
      </c>
      <c r="C21" s="326">
        <f>Données!C21</f>
        <v>6073</v>
      </c>
      <c r="D21" s="327">
        <f t="shared" si="0"/>
        <v>5912821.1096946858</v>
      </c>
    </row>
    <row r="22" spans="1:4" x14ac:dyDescent="0.25">
      <c r="A22" s="111">
        <f>Données!A22</f>
        <v>5415</v>
      </c>
      <c r="B22" s="119" t="str">
        <f>Données!B22</f>
        <v>Yvorne</v>
      </c>
      <c r="C22" s="326">
        <f>Données!C22</f>
        <v>1119</v>
      </c>
      <c r="D22" s="327">
        <f t="shared" si="0"/>
        <v>1089485.7272761986</v>
      </c>
    </row>
    <row r="23" spans="1:4" x14ac:dyDescent="0.25">
      <c r="A23" s="111">
        <f>Données!A23</f>
        <v>5422</v>
      </c>
      <c r="B23" s="119" t="str">
        <f>Données!B23</f>
        <v>Aubonne</v>
      </c>
      <c r="C23" s="326">
        <f>Données!C23</f>
        <v>3896</v>
      </c>
      <c r="D23" s="327">
        <f t="shared" si="0"/>
        <v>3793240.7448329488</v>
      </c>
    </row>
    <row r="24" spans="1:4" ht="15" customHeight="1" x14ac:dyDescent="0.25">
      <c r="A24" s="111">
        <f>Données!A24</f>
        <v>5423</v>
      </c>
      <c r="B24" s="119" t="str">
        <f>Données!B24</f>
        <v>Ballens</v>
      </c>
      <c r="C24" s="326">
        <f>Données!C24</f>
        <v>580</v>
      </c>
      <c r="D24" s="327">
        <f t="shared" si="0"/>
        <v>564702.16427184548</v>
      </c>
    </row>
    <row r="25" spans="1:4" x14ac:dyDescent="0.25">
      <c r="A25" s="111">
        <f>Données!A25</f>
        <v>5424</v>
      </c>
      <c r="B25" s="119" t="str">
        <f>Données!B25</f>
        <v>Berolle</v>
      </c>
      <c r="C25" s="326">
        <f>Données!C25</f>
        <v>300</v>
      </c>
      <c r="D25" s="327">
        <f t="shared" si="0"/>
        <v>292087.32634750631</v>
      </c>
    </row>
    <row r="26" spans="1:4" x14ac:dyDescent="0.25">
      <c r="A26" s="111">
        <f>Données!A26</f>
        <v>5425</v>
      </c>
      <c r="B26" s="119" t="str">
        <f>Données!B26</f>
        <v>Bière</v>
      </c>
      <c r="C26" s="326">
        <f>Données!C26</f>
        <v>1701</v>
      </c>
      <c r="D26" s="327">
        <f t="shared" si="0"/>
        <v>1656135.1403903607</v>
      </c>
    </row>
    <row r="27" spans="1:4" x14ac:dyDescent="0.25">
      <c r="A27" s="111">
        <f>Données!A27</f>
        <v>5426</v>
      </c>
      <c r="B27" s="119" t="str">
        <f>Données!B27</f>
        <v>Bougy-Villars</v>
      </c>
      <c r="C27" s="326">
        <f>Données!C27</f>
        <v>493</v>
      </c>
      <c r="D27" s="327">
        <f t="shared" si="0"/>
        <v>479996.83963106869</v>
      </c>
    </row>
    <row r="28" spans="1:4" ht="15" customHeight="1" x14ac:dyDescent="0.25">
      <c r="A28" s="111">
        <f>Données!A28</f>
        <v>5427</v>
      </c>
      <c r="B28" s="119" t="str">
        <f>Données!B28</f>
        <v>Féchy</v>
      </c>
      <c r="C28" s="326">
        <f>Données!C28</f>
        <v>906</v>
      </c>
      <c r="D28" s="327">
        <f t="shared" si="0"/>
        <v>882103.72556946904</v>
      </c>
    </row>
    <row r="29" spans="1:4" x14ac:dyDescent="0.25">
      <c r="A29" s="111">
        <f>Données!A29</f>
        <v>5428</v>
      </c>
      <c r="B29" s="119" t="str">
        <f>Données!B29</f>
        <v>Gimel</v>
      </c>
      <c r="C29" s="326">
        <f>Données!C29</f>
        <v>2453</v>
      </c>
      <c r="D29" s="327">
        <f t="shared" si="0"/>
        <v>2388300.7051014435</v>
      </c>
    </row>
    <row r="30" spans="1:4" x14ac:dyDescent="0.25">
      <c r="A30" s="111">
        <f>Données!A30</f>
        <v>5429</v>
      </c>
      <c r="B30" s="119" t="str">
        <f>Données!B30</f>
        <v>Longirod</v>
      </c>
      <c r="C30" s="326">
        <f>Données!C30</f>
        <v>558</v>
      </c>
      <c r="D30" s="327">
        <f t="shared" si="0"/>
        <v>543282.42700636177</v>
      </c>
    </row>
    <row r="31" spans="1:4" x14ac:dyDescent="0.25">
      <c r="A31" s="111">
        <f>Données!A31</f>
        <v>5430</v>
      </c>
      <c r="B31" s="119" t="str">
        <f>Données!B31</f>
        <v>Marchissy</v>
      </c>
      <c r="C31" s="326">
        <f>Données!C31</f>
        <v>492</v>
      </c>
      <c r="D31" s="327">
        <f t="shared" si="0"/>
        <v>479023.21520991036</v>
      </c>
    </row>
    <row r="32" spans="1:4" x14ac:dyDescent="0.25">
      <c r="A32" s="111">
        <f>Données!A32</f>
        <v>5431</v>
      </c>
      <c r="B32" s="119" t="str">
        <f>Données!B32</f>
        <v>Mollens</v>
      </c>
      <c r="C32" s="326">
        <f>Données!C32</f>
        <v>320</v>
      </c>
      <c r="D32" s="327">
        <f t="shared" si="0"/>
        <v>311559.8147706734</v>
      </c>
    </row>
    <row r="33" spans="1:4" x14ac:dyDescent="0.25">
      <c r="A33" s="111">
        <f>Données!A33</f>
        <v>5434</v>
      </c>
      <c r="B33" s="119" t="str">
        <f>Données!B33</f>
        <v>Saint-George</v>
      </c>
      <c r="C33" s="326">
        <f>Données!C33</f>
        <v>1082</v>
      </c>
      <c r="D33" s="327">
        <f t="shared" si="0"/>
        <v>1053461.6236933395</v>
      </c>
    </row>
    <row r="34" spans="1:4" x14ac:dyDescent="0.25">
      <c r="A34" s="111">
        <f>Données!A34</f>
        <v>5435</v>
      </c>
      <c r="B34" s="119" t="str">
        <f>Données!B34</f>
        <v>Saint-Livres</v>
      </c>
      <c r="C34" s="326">
        <f>Données!C34</f>
        <v>708</v>
      </c>
      <c r="D34" s="327">
        <f t="shared" si="0"/>
        <v>689326.09018011484</v>
      </c>
    </row>
    <row r="35" spans="1:4" x14ac:dyDescent="0.25">
      <c r="A35" s="111">
        <f>Données!A35</f>
        <v>5436</v>
      </c>
      <c r="B35" s="119" t="str">
        <f>Données!B35</f>
        <v>Saint-Oyens</v>
      </c>
      <c r="C35" s="326">
        <f>Données!C35</f>
        <v>449</v>
      </c>
      <c r="D35" s="327">
        <f t="shared" si="0"/>
        <v>437157.3651001011</v>
      </c>
    </row>
    <row r="36" spans="1:4" x14ac:dyDescent="0.25">
      <c r="A36" s="111">
        <f>Données!A36</f>
        <v>5437</v>
      </c>
      <c r="B36" s="119" t="str">
        <f>Données!B36</f>
        <v>Saubraz</v>
      </c>
      <c r="C36" s="326">
        <f>Données!C36</f>
        <v>441</v>
      </c>
      <c r="D36" s="327">
        <f t="shared" si="0"/>
        <v>429368.36973083427</v>
      </c>
    </row>
    <row r="37" spans="1:4" x14ac:dyDescent="0.25">
      <c r="A37" s="111">
        <f>Données!A37</f>
        <v>5451</v>
      </c>
      <c r="B37" s="119" t="str">
        <f>Données!B37</f>
        <v>Avenches</v>
      </c>
      <c r="C37" s="326">
        <f>Données!C37</f>
        <v>4953</v>
      </c>
      <c r="D37" s="327">
        <f t="shared" si="0"/>
        <v>4822361.7579973293</v>
      </c>
    </row>
    <row r="38" spans="1:4" x14ac:dyDescent="0.25">
      <c r="A38" s="111">
        <f>Données!A38</f>
        <v>5456</v>
      </c>
      <c r="B38" s="119" t="str">
        <f>Données!B38</f>
        <v>Cudrefin</v>
      </c>
      <c r="C38" s="326">
        <f>Données!C38</f>
        <v>1915</v>
      </c>
      <c r="D38" s="327">
        <f t="shared" si="0"/>
        <v>1864490.7665182487</v>
      </c>
    </row>
    <row r="39" spans="1:4" x14ac:dyDescent="0.25">
      <c r="A39" s="111">
        <f>Données!A39</f>
        <v>5458</v>
      </c>
      <c r="B39" s="119" t="str">
        <f>Données!B39</f>
        <v>Faoug</v>
      </c>
      <c r="C39" s="326">
        <f>Données!C39</f>
        <v>902</v>
      </c>
      <c r="D39" s="327">
        <f t="shared" si="0"/>
        <v>878209.22788483568</v>
      </c>
    </row>
    <row r="40" spans="1:4" x14ac:dyDescent="0.25">
      <c r="A40" s="111">
        <f>Données!A40</f>
        <v>5464</v>
      </c>
      <c r="B40" s="119" t="str">
        <f>Données!B40</f>
        <v>Vully-les-Lacs</v>
      </c>
      <c r="C40" s="326">
        <f>Données!C40</f>
        <v>3698</v>
      </c>
      <c r="D40" s="327">
        <f t="shared" si="0"/>
        <v>3600463.1094435947</v>
      </c>
    </row>
    <row r="41" spans="1:4" x14ac:dyDescent="0.25">
      <c r="A41" s="111">
        <f>Données!A41</f>
        <v>5471</v>
      </c>
      <c r="B41" s="119" t="str">
        <f>Données!B41</f>
        <v>Bettens</v>
      </c>
      <c r="C41" s="326">
        <f>Données!C41</f>
        <v>652</v>
      </c>
      <c r="D41" s="327">
        <f t="shared" si="0"/>
        <v>634803.12259524711</v>
      </c>
    </row>
    <row r="42" spans="1:4" x14ac:dyDescent="0.25">
      <c r="A42" s="111">
        <f>Données!A42</f>
        <v>5472</v>
      </c>
      <c r="B42" s="119" t="str">
        <f>Données!B42</f>
        <v>Bournens</v>
      </c>
      <c r="C42" s="326">
        <f>Données!C42</f>
        <v>612</v>
      </c>
      <c r="D42" s="327">
        <f t="shared" si="0"/>
        <v>595858.14574891282</v>
      </c>
    </row>
    <row r="43" spans="1:4" x14ac:dyDescent="0.25">
      <c r="A43" s="111">
        <f>Données!A43</f>
        <v>5473</v>
      </c>
      <c r="B43" s="119" t="str">
        <f>Données!B43</f>
        <v>Boussens</v>
      </c>
      <c r="C43" s="326">
        <f>Données!C43</f>
        <v>1016</v>
      </c>
      <c r="D43" s="327">
        <f t="shared" si="0"/>
        <v>989202.41189688805</v>
      </c>
    </row>
    <row r="44" spans="1:4" x14ac:dyDescent="0.25">
      <c r="A44" s="111">
        <f>Données!A44</f>
        <v>5474</v>
      </c>
      <c r="B44" s="119" t="str">
        <f>Données!B44</f>
        <v>La Chaux (Cossonay)</v>
      </c>
      <c r="C44" s="326">
        <f>Données!C44</f>
        <v>421</v>
      </c>
      <c r="D44" s="327">
        <f t="shared" si="0"/>
        <v>409895.88130766718</v>
      </c>
    </row>
    <row r="45" spans="1:4" x14ac:dyDescent="0.25">
      <c r="A45" s="111">
        <f>Données!A45</f>
        <v>5475</v>
      </c>
      <c r="B45" s="119" t="str">
        <f>Données!B45</f>
        <v>Chavannes-le-Veyron</v>
      </c>
      <c r="C45" s="326">
        <f>Données!C45</f>
        <v>160</v>
      </c>
      <c r="D45" s="327">
        <f t="shared" si="0"/>
        <v>155779.9073853367</v>
      </c>
    </row>
    <row r="46" spans="1:4" x14ac:dyDescent="0.25">
      <c r="A46" s="111">
        <f>Données!A46</f>
        <v>5476</v>
      </c>
      <c r="B46" s="119" t="str">
        <f>Données!B46</f>
        <v>Chevilly</v>
      </c>
      <c r="C46" s="326">
        <f>Données!C46</f>
        <v>345</v>
      </c>
      <c r="D46" s="327">
        <f t="shared" si="0"/>
        <v>335900.42529963225</v>
      </c>
    </row>
    <row r="47" spans="1:4" x14ac:dyDescent="0.25">
      <c r="A47" s="111">
        <f>Données!A47</f>
        <v>5477</v>
      </c>
      <c r="B47" s="119" t="str">
        <f>Données!B47</f>
        <v>Cossonay</v>
      </c>
      <c r="C47" s="326">
        <f>Données!C47</f>
        <v>4974</v>
      </c>
      <c r="D47" s="327">
        <f t="shared" si="0"/>
        <v>4842807.8708416549</v>
      </c>
    </row>
    <row r="48" spans="1:4" x14ac:dyDescent="0.25">
      <c r="A48" s="111">
        <f>Données!A48</f>
        <v>5479</v>
      </c>
      <c r="B48" s="119" t="str">
        <f>Données!B48</f>
        <v>Cuarnens</v>
      </c>
      <c r="C48" s="326">
        <f>Données!C48</f>
        <v>557</v>
      </c>
      <c r="D48" s="327">
        <f t="shared" si="0"/>
        <v>542308.80258520343</v>
      </c>
    </row>
    <row r="49" spans="1:4" x14ac:dyDescent="0.25">
      <c r="A49" s="111">
        <f>Données!A49</f>
        <v>5480</v>
      </c>
      <c r="B49" s="119" t="str">
        <f>Données!B49</f>
        <v>Daillens</v>
      </c>
      <c r="C49" s="326">
        <f>Données!C49</f>
        <v>1113</v>
      </c>
      <c r="D49" s="327">
        <f t="shared" si="0"/>
        <v>1083643.9807492485</v>
      </c>
    </row>
    <row r="50" spans="1:4" x14ac:dyDescent="0.25">
      <c r="A50" s="111">
        <f>Données!A50</f>
        <v>5481</v>
      </c>
      <c r="B50" s="119" t="str">
        <f>Données!B50</f>
        <v>Dizy</v>
      </c>
      <c r="C50" s="326">
        <f>Données!C50</f>
        <v>239</v>
      </c>
      <c r="D50" s="327">
        <f t="shared" si="0"/>
        <v>232696.23665684671</v>
      </c>
    </row>
    <row r="51" spans="1:4" x14ac:dyDescent="0.25">
      <c r="A51" s="111">
        <f>Données!A51</f>
        <v>5482</v>
      </c>
      <c r="B51" s="119" t="str">
        <f>Données!B51</f>
        <v>Eclépens</v>
      </c>
      <c r="C51" s="326">
        <f>Données!C51</f>
        <v>1202</v>
      </c>
      <c r="D51" s="327">
        <f t="shared" si="0"/>
        <v>1170296.5542323419</v>
      </c>
    </row>
    <row r="52" spans="1:4" x14ac:dyDescent="0.25">
      <c r="A52" s="111">
        <f>Données!A52</f>
        <v>5483</v>
      </c>
      <c r="B52" s="119" t="str">
        <f>Données!B52</f>
        <v>Ferreyres</v>
      </c>
      <c r="C52" s="326">
        <f>Données!C52</f>
        <v>308</v>
      </c>
      <c r="D52" s="327">
        <f t="shared" si="0"/>
        <v>299876.32171677315</v>
      </c>
    </row>
    <row r="53" spans="1:4" x14ac:dyDescent="0.25">
      <c r="A53" s="111">
        <f>Données!A53</f>
        <v>5484</v>
      </c>
      <c r="B53" s="119" t="str">
        <f>Données!B53</f>
        <v>Gollion</v>
      </c>
      <c r="C53" s="326">
        <f>Données!C53</f>
        <v>1091</v>
      </c>
      <c r="D53" s="327">
        <f t="shared" si="0"/>
        <v>1062224.2434837646</v>
      </c>
    </row>
    <row r="54" spans="1:4" x14ac:dyDescent="0.25">
      <c r="A54" s="111">
        <f>Données!A54</f>
        <v>5485</v>
      </c>
      <c r="B54" s="119" t="str">
        <f>Données!B54</f>
        <v>Grancy</v>
      </c>
      <c r="C54" s="326">
        <f>Données!C54</f>
        <v>541</v>
      </c>
      <c r="D54" s="327">
        <f t="shared" si="0"/>
        <v>526730.81184666976</v>
      </c>
    </row>
    <row r="55" spans="1:4" x14ac:dyDescent="0.25">
      <c r="A55" s="111">
        <f>Données!A55</f>
        <v>5486</v>
      </c>
      <c r="B55" s="119" t="str">
        <f>Données!B55</f>
        <v>L'Isle</v>
      </c>
      <c r="C55" s="326">
        <f>Données!C55</f>
        <v>1106</v>
      </c>
      <c r="D55" s="327">
        <f t="shared" si="0"/>
        <v>1076828.6098011399</v>
      </c>
    </row>
    <row r="56" spans="1:4" x14ac:dyDescent="0.25">
      <c r="A56" s="111">
        <f>Données!A56</f>
        <v>5487</v>
      </c>
      <c r="B56" s="119" t="str">
        <f>Données!B56</f>
        <v>Lussery-Villars</v>
      </c>
      <c r="C56" s="326">
        <f>Données!C56</f>
        <v>469</v>
      </c>
      <c r="D56" s="327">
        <f t="shared" si="0"/>
        <v>456629.85352326819</v>
      </c>
    </row>
    <row r="57" spans="1:4" x14ac:dyDescent="0.25">
      <c r="A57" s="111">
        <f>Données!A57</f>
        <v>5488</v>
      </c>
      <c r="B57" s="119" t="str">
        <f>Données!B57</f>
        <v>Mauraz</v>
      </c>
      <c r="C57" s="326">
        <f>Données!C57</f>
        <v>74</v>
      </c>
      <c r="D57" s="327">
        <f t="shared" si="0"/>
        <v>72048.207165718224</v>
      </c>
    </row>
    <row r="58" spans="1:4" x14ac:dyDescent="0.25">
      <c r="A58" s="111">
        <f>Données!A58</f>
        <v>5489</v>
      </c>
      <c r="B58" s="119" t="str">
        <f>Données!B58</f>
        <v>Mex</v>
      </c>
      <c r="C58" s="326">
        <f>Données!C58</f>
        <v>828</v>
      </c>
      <c r="D58" s="327">
        <f t="shared" si="0"/>
        <v>806161.02071911748</v>
      </c>
    </row>
    <row r="59" spans="1:4" x14ac:dyDescent="0.25">
      <c r="A59" s="111">
        <f>Données!A59</f>
        <v>5490</v>
      </c>
      <c r="B59" s="119" t="str">
        <f>Données!B59</f>
        <v>Moiry</v>
      </c>
      <c r="C59" s="326">
        <f>Données!C59</f>
        <v>295</v>
      </c>
      <c r="D59" s="327">
        <f t="shared" si="0"/>
        <v>287219.20424171456</v>
      </c>
    </row>
    <row r="60" spans="1:4" x14ac:dyDescent="0.25">
      <c r="A60" s="111">
        <f>Données!A60</f>
        <v>5491</v>
      </c>
      <c r="B60" s="119" t="str">
        <f>Données!B60</f>
        <v>Mont-la-Ville</v>
      </c>
      <c r="C60" s="326">
        <f>Données!C60</f>
        <v>504</v>
      </c>
      <c r="D60" s="327">
        <f t="shared" si="0"/>
        <v>490706.70826381061</v>
      </c>
    </row>
    <row r="61" spans="1:4" x14ac:dyDescent="0.25">
      <c r="A61" s="111">
        <f>Données!A61</f>
        <v>5492</v>
      </c>
      <c r="B61" s="119" t="str">
        <f>Données!B61</f>
        <v>Montricher</v>
      </c>
      <c r="C61" s="326">
        <f>Données!C61</f>
        <v>947</v>
      </c>
      <c r="D61" s="327">
        <f t="shared" si="0"/>
        <v>922022.32683696155</v>
      </c>
    </row>
    <row r="62" spans="1:4" x14ac:dyDescent="0.25">
      <c r="A62" s="111">
        <f>Données!A62</f>
        <v>5493</v>
      </c>
      <c r="B62" s="119" t="str">
        <f>Données!B62</f>
        <v>Orny</v>
      </c>
      <c r="C62" s="326">
        <f>Données!C62</f>
        <v>525</v>
      </c>
      <c r="D62" s="327">
        <f t="shared" si="0"/>
        <v>511152.82110813604</v>
      </c>
    </row>
    <row r="63" spans="1:4" x14ac:dyDescent="0.25">
      <c r="A63" s="111">
        <f>Données!A63</f>
        <v>5495</v>
      </c>
      <c r="B63" s="119" t="str">
        <f>Données!B63</f>
        <v>Penthalaz</v>
      </c>
      <c r="C63" s="326">
        <f>Données!C63</f>
        <v>3199</v>
      </c>
      <c r="D63" s="327">
        <f t="shared" si="0"/>
        <v>3114624.5232855757</v>
      </c>
    </row>
    <row r="64" spans="1:4" x14ac:dyDescent="0.25">
      <c r="A64" s="111">
        <f>Données!A64</f>
        <v>5496</v>
      </c>
      <c r="B64" s="119" t="str">
        <f>Données!B64</f>
        <v>Penthaz</v>
      </c>
      <c r="C64" s="326">
        <f>Données!C64</f>
        <v>1910</v>
      </c>
      <c r="D64" s="327">
        <f t="shared" si="0"/>
        <v>1859622.6444124568</v>
      </c>
    </row>
    <row r="65" spans="1:4" x14ac:dyDescent="0.25">
      <c r="A65" s="111">
        <f>Données!A65</f>
        <v>5497</v>
      </c>
      <c r="B65" s="119" t="str">
        <f>Données!B65</f>
        <v>Pompaples</v>
      </c>
      <c r="C65" s="326">
        <f>Données!C65</f>
        <v>917</v>
      </c>
      <c r="D65" s="327">
        <f t="shared" si="0"/>
        <v>892813.59420221101</v>
      </c>
    </row>
    <row r="66" spans="1:4" x14ac:dyDescent="0.25">
      <c r="A66" s="111">
        <f>Données!A66</f>
        <v>5498</v>
      </c>
      <c r="B66" s="119" t="str">
        <f>Données!B66</f>
        <v>La Sarraz</v>
      </c>
      <c r="C66" s="326">
        <f>Données!C66</f>
        <v>2609</v>
      </c>
      <c r="D66" s="327">
        <f t="shared" si="0"/>
        <v>2540186.1148021468</v>
      </c>
    </row>
    <row r="67" spans="1:4" x14ac:dyDescent="0.25">
      <c r="A67" s="111">
        <f>Données!A67</f>
        <v>5499</v>
      </c>
      <c r="B67" s="119" t="str">
        <f>Données!B67</f>
        <v>Senarclens</v>
      </c>
      <c r="C67" s="326">
        <f>Données!C67</f>
        <v>505</v>
      </c>
      <c r="D67" s="327">
        <f t="shared" si="0"/>
        <v>491680.33268496895</v>
      </c>
    </row>
    <row r="68" spans="1:4" x14ac:dyDescent="0.25">
      <c r="A68" s="111">
        <f>Données!A68</f>
        <v>5501</v>
      </c>
      <c r="B68" s="119" t="str">
        <f>Données!B68</f>
        <v>Sullens</v>
      </c>
      <c r="C68" s="326">
        <f>Données!C68</f>
        <v>1282</v>
      </c>
      <c r="D68" s="327">
        <f t="shared" si="0"/>
        <v>1248186.5079250103</v>
      </c>
    </row>
    <row r="69" spans="1:4" x14ac:dyDescent="0.25">
      <c r="A69" s="111">
        <f>Données!A69</f>
        <v>5503</v>
      </c>
      <c r="B69" s="119" t="str">
        <f>Données!B69</f>
        <v>Vufflens-la-Ville</v>
      </c>
      <c r="C69" s="326">
        <f>Données!C69</f>
        <v>1327</v>
      </c>
      <c r="D69" s="327">
        <f t="shared" si="0"/>
        <v>1291999.6068771363</v>
      </c>
    </row>
    <row r="70" spans="1:4" x14ac:dyDescent="0.25">
      <c r="A70" s="111">
        <f>Données!A70</f>
        <v>5511</v>
      </c>
      <c r="B70" s="119" t="str">
        <f>Données!B70</f>
        <v>Assens</v>
      </c>
      <c r="C70" s="326">
        <f>Données!C70</f>
        <v>1747</v>
      </c>
      <c r="D70" s="327">
        <f t="shared" si="0"/>
        <v>1700921.8637636451</v>
      </c>
    </row>
    <row r="71" spans="1:4" x14ac:dyDescent="0.25">
      <c r="A71" s="111">
        <f>Données!A71</f>
        <v>5512</v>
      </c>
      <c r="B71" s="119" t="str">
        <f>Données!B71</f>
        <v>Bercher</v>
      </c>
      <c r="C71" s="326">
        <f>Données!C71</f>
        <v>1359</v>
      </c>
      <c r="D71" s="327">
        <f t="shared" si="0"/>
        <v>1323155.5883542036</v>
      </c>
    </row>
    <row r="72" spans="1:4" x14ac:dyDescent="0.25">
      <c r="A72" s="111">
        <f>Données!A72</f>
        <v>5514</v>
      </c>
      <c r="B72" s="119" t="str">
        <f>Données!B72</f>
        <v>Bottens</v>
      </c>
      <c r="C72" s="326">
        <f>Données!C72</f>
        <v>1389</v>
      </c>
      <c r="D72" s="327">
        <f t="shared" ref="D72:D135" si="1">$D$4/$C$308*C72</f>
        <v>1352364.3209889543</v>
      </c>
    </row>
    <row r="73" spans="1:4" x14ac:dyDescent="0.25">
      <c r="A73" s="111">
        <f>Données!A73</f>
        <v>5515</v>
      </c>
      <c r="B73" s="119" t="str">
        <f>Données!B73</f>
        <v>Bretigny-sur-Morrens</v>
      </c>
      <c r="C73" s="326">
        <f>Données!C73</f>
        <v>893</v>
      </c>
      <c r="D73" s="327">
        <f t="shared" si="1"/>
        <v>869446.60809441051</v>
      </c>
    </row>
    <row r="74" spans="1:4" x14ac:dyDescent="0.25">
      <c r="A74" s="111">
        <f>Données!A74</f>
        <v>5516</v>
      </c>
      <c r="B74" s="119" t="str">
        <f>Données!B74</f>
        <v>Cugy</v>
      </c>
      <c r="C74" s="326">
        <f>Données!C74</f>
        <v>2824</v>
      </c>
      <c r="D74" s="327">
        <f t="shared" si="1"/>
        <v>2749515.3653511927</v>
      </c>
    </row>
    <row r="75" spans="1:4" x14ac:dyDescent="0.25">
      <c r="A75" s="111">
        <f>Données!A75</f>
        <v>5518</v>
      </c>
      <c r="B75" s="119" t="str">
        <f>Données!B75</f>
        <v>Echallens</v>
      </c>
      <c r="C75" s="326">
        <f>Données!C75</f>
        <v>6816</v>
      </c>
      <c r="D75" s="327">
        <f t="shared" si="1"/>
        <v>6636224.054615343</v>
      </c>
    </row>
    <row r="76" spans="1:4" x14ac:dyDescent="0.25">
      <c r="A76" s="111">
        <f>Données!A76</f>
        <v>5520</v>
      </c>
      <c r="B76" s="119" t="str">
        <f>Données!B76</f>
        <v>Essertines-sur-Yverdon</v>
      </c>
      <c r="C76" s="326">
        <f>Données!C76</f>
        <v>1183</v>
      </c>
      <c r="D76" s="327">
        <f t="shared" si="1"/>
        <v>1151797.6902303332</v>
      </c>
    </row>
    <row r="77" spans="1:4" x14ac:dyDescent="0.25">
      <c r="A77" s="111">
        <f>Données!A77</f>
        <v>5521</v>
      </c>
      <c r="B77" s="119" t="str">
        <f>Données!B77</f>
        <v>Etagnières</v>
      </c>
      <c r="C77" s="326">
        <f>Données!C77</f>
        <v>1168</v>
      </c>
      <c r="D77" s="327">
        <f t="shared" si="1"/>
        <v>1137193.3239129579</v>
      </c>
    </row>
    <row r="78" spans="1:4" x14ac:dyDescent="0.25">
      <c r="A78" s="111">
        <f>Données!A78</f>
        <v>5522</v>
      </c>
      <c r="B78" s="119" t="str">
        <f>Données!B78</f>
        <v>Fey</v>
      </c>
      <c r="C78" s="326">
        <f>Données!C78</f>
        <v>791</v>
      </c>
      <c r="D78" s="327">
        <f t="shared" si="1"/>
        <v>770136.91713625833</v>
      </c>
    </row>
    <row r="79" spans="1:4" x14ac:dyDescent="0.25">
      <c r="A79" s="111">
        <f>Données!A79</f>
        <v>5523</v>
      </c>
      <c r="B79" s="119" t="str">
        <f>Données!B79</f>
        <v>Froideville</v>
      </c>
      <c r="C79" s="326">
        <f>Données!C79</f>
        <v>2713</v>
      </c>
      <c r="D79" s="327">
        <f t="shared" si="1"/>
        <v>2641443.0546026155</v>
      </c>
    </row>
    <row r="80" spans="1:4" x14ac:dyDescent="0.25">
      <c r="A80" s="111">
        <f>Données!A80</f>
        <v>5527</v>
      </c>
      <c r="B80" s="119" t="str">
        <f>Données!B80</f>
        <v>Morrens</v>
      </c>
      <c r="C80" s="326">
        <f>Données!C80</f>
        <v>1145</v>
      </c>
      <c r="D80" s="327">
        <f t="shared" si="1"/>
        <v>1114799.9622263159</v>
      </c>
    </row>
    <row r="81" spans="1:4" x14ac:dyDescent="0.25">
      <c r="A81" s="111">
        <f>Données!A81</f>
        <v>5529</v>
      </c>
      <c r="B81" s="119" t="str">
        <f>Données!B81</f>
        <v>Oulens-sous-Echallens</v>
      </c>
      <c r="C81" s="326">
        <f>Données!C81</f>
        <v>609</v>
      </c>
      <c r="D81" s="327">
        <f t="shared" si="1"/>
        <v>592937.2724854378</v>
      </c>
    </row>
    <row r="82" spans="1:4" x14ac:dyDescent="0.25">
      <c r="A82" s="111">
        <f>Données!A82</f>
        <v>5530</v>
      </c>
      <c r="B82" s="119" t="str">
        <f>Données!B82</f>
        <v>Pailly</v>
      </c>
      <c r="C82" s="326">
        <f>Données!C82</f>
        <v>575</v>
      </c>
      <c r="D82" s="327">
        <f t="shared" si="1"/>
        <v>559834.04216605378</v>
      </c>
    </row>
    <row r="83" spans="1:4" x14ac:dyDescent="0.25">
      <c r="A83" s="111">
        <f>Données!A83</f>
        <v>5531</v>
      </c>
      <c r="B83" s="119" t="str">
        <f>Données!B83</f>
        <v>Penthéréaz</v>
      </c>
      <c r="C83" s="326">
        <f>Données!C83</f>
        <v>446</v>
      </c>
      <c r="D83" s="327">
        <f t="shared" si="1"/>
        <v>434236.49183662608</v>
      </c>
    </row>
    <row r="84" spans="1:4" x14ac:dyDescent="0.25">
      <c r="A84" s="111">
        <f>Données!A84</f>
        <v>5533</v>
      </c>
      <c r="B84" s="119" t="str">
        <f>Données!B84</f>
        <v>Poliez-Pittet</v>
      </c>
      <c r="C84" s="326">
        <f>Données!C84</f>
        <v>847</v>
      </c>
      <c r="D84" s="327">
        <f t="shared" si="1"/>
        <v>824659.88472112617</v>
      </c>
    </row>
    <row r="85" spans="1:4" x14ac:dyDescent="0.25">
      <c r="A85" s="111">
        <f>Données!A85</f>
        <v>5534</v>
      </c>
      <c r="B85" s="119" t="str">
        <f>Données!B85</f>
        <v>Rueyres</v>
      </c>
      <c r="C85" s="326">
        <f>Données!C85</f>
        <v>302</v>
      </c>
      <c r="D85" s="327">
        <f t="shared" si="1"/>
        <v>294034.57518982305</v>
      </c>
    </row>
    <row r="86" spans="1:4" x14ac:dyDescent="0.25">
      <c r="A86" s="111">
        <f>Données!A86</f>
        <v>5535</v>
      </c>
      <c r="B86" s="119" t="str">
        <f>Données!B86</f>
        <v>Saint-Barthélemy</v>
      </c>
      <c r="C86" s="326">
        <f>Données!C86</f>
        <v>838</v>
      </c>
      <c r="D86" s="327">
        <f t="shared" si="1"/>
        <v>815897.264930701</v>
      </c>
    </row>
    <row r="87" spans="1:4" x14ac:dyDescent="0.25">
      <c r="A87" s="111">
        <f>Données!A87</f>
        <v>5537</v>
      </c>
      <c r="B87" s="119" t="str">
        <f>Données!B87</f>
        <v>Villars-le-Terroir</v>
      </c>
      <c r="C87" s="326">
        <f>Données!C87</f>
        <v>1334</v>
      </c>
      <c r="D87" s="327">
        <f t="shared" si="1"/>
        <v>1298814.9778252447</v>
      </c>
    </row>
    <row r="88" spans="1:4" x14ac:dyDescent="0.25">
      <c r="A88" s="111">
        <f>Données!A88</f>
        <v>5539</v>
      </c>
      <c r="B88" s="119" t="str">
        <f>Données!B88</f>
        <v>Vuarrens</v>
      </c>
      <c r="C88" s="326">
        <f>Données!C88</f>
        <v>1113</v>
      </c>
      <c r="D88" s="327">
        <f t="shared" si="1"/>
        <v>1083643.9807492485</v>
      </c>
    </row>
    <row r="89" spans="1:4" x14ac:dyDescent="0.25">
      <c r="A89" s="111">
        <f>Données!A89</f>
        <v>5540</v>
      </c>
      <c r="B89" s="119" t="str">
        <f>Données!B89</f>
        <v>Montilliez</v>
      </c>
      <c r="C89" s="326">
        <f>Données!C89</f>
        <v>1856</v>
      </c>
      <c r="D89" s="327">
        <f t="shared" si="1"/>
        <v>1807046.9256699057</v>
      </c>
    </row>
    <row r="90" spans="1:4" x14ac:dyDescent="0.25">
      <c r="A90" s="111">
        <f>Données!A90</f>
        <v>5541</v>
      </c>
      <c r="B90" s="119" t="str">
        <f>Données!B90</f>
        <v>Goumoëns</v>
      </c>
      <c r="C90" s="326">
        <f>Données!C90</f>
        <v>1251</v>
      </c>
      <c r="D90" s="327">
        <f t="shared" si="1"/>
        <v>1218004.1508691013</v>
      </c>
    </row>
    <row r="91" spans="1:4" x14ac:dyDescent="0.25">
      <c r="A91" s="111">
        <f>Données!A91</f>
        <v>5551</v>
      </c>
      <c r="B91" s="119" t="str">
        <f>Données!B91</f>
        <v>Bonvillars</v>
      </c>
      <c r="C91" s="326">
        <f>Données!C91</f>
        <v>517</v>
      </c>
      <c r="D91" s="327">
        <f t="shared" si="1"/>
        <v>503363.8257388692</v>
      </c>
    </row>
    <row r="92" spans="1:4" x14ac:dyDescent="0.25">
      <c r="A92" s="111">
        <f>Données!A92</f>
        <v>5552</v>
      </c>
      <c r="B92" s="119" t="str">
        <f>Données!B92</f>
        <v>Bullet</v>
      </c>
      <c r="C92" s="326">
        <f>Données!C92</f>
        <v>687</v>
      </c>
      <c r="D92" s="327">
        <f t="shared" si="1"/>
        <v>668879.97733578947</v>
      </c>
    </row>
    <row r="93" spans="1:4" x14ac:dyDescent="0.25">
      <c r="A93" s="111">
        <f>Données!A93</f>
        <v>5553</v>
      </c>
      <c r="B93" s="119" t="str">
        <f>Données!B93</f>
        <v>Champagne</v>
      </c>
      <c r="C93" s="326">
        <f>Données!C93</f>
        <v>1087</v>
      </c>
      <c r="D93" s="327">
        <f t="shared" si="1"/>
        <v>1058329.7457991312</v>
      </c>
    </row>
    <row r="94" spans="1:4" x14ac:dyDescent="0.25">
      <c r="A94" s="111">
        <f>Données!A94</f>
        <v>5554</v>
      </c>
      <c r="B94" s="119" t="str">
        <f>Données!B94</f>
        <v>Concise</v>
      </c>
      <c r="C94" s="326">
        <f>Données!C94</f>
        <v>1035</v>
      </c>
      <c r="D94" s="327">
        <f t="shared" si="1"/>
        <v>1007701.2758988967</v>
      </c>
    </row>
    <row r="95" spans="1:4" x14ac:dyDescent="0.25">
      <c r="A95" s="111">
        <f>Données!A95</f>
        <v>5555</v>
      </c>
      <c r="B95" s="119" t="str">
        <f>Données!B95</f>
        <v>Corcelles-près-Concise</v>
      </c>
      <c r="C95" s="326">
        <f>Données!C95</f>
        <v>439</v>
      </c>
      <c r="D95" s="327">
        <f t="shared" si="1"/>
        <v>427421.12088851759</v>
      </c>
    </row>
    <row r="96" spans="1:4" x14ac:dyDescent="0.25">
      <c r="A96" s="111">
        <f>Données!A96</f>
        <v>5556</v>
      </c>
      <c r="B96" s="119" t="str">
        <f>Données!B96</f>
        <v>Fiez</v>
      </c>
      <c r="C96" s="326">
        <f>Données!C96</f>
        <v>421</v>
      </c>
      <c r="D96" s="327">
        <f t="shared" si="1"/>
        <v>409895.88130766718</v>
      </c>
    </row>
    <row r="97" spans="1:4" x14ac:dyDescent="0.25">
      <c r="A97" s="111">
        <f>Données!A97</f>
        <v>5557</v>
      </c>
      <c r="B97" s="119" t="str">
        <f>Données!B97</f>
        <v>Fontaines-sur-Grandson</v>
      </c>
      <c r="C97" s="326">
        <f>Données!C97</f>
        <v>228</v>
      </c>
      <c r="D97" s="327">
        <f t="shared" si="1"/>
        <v>221986.3680241048</v>
      </c>
    </row>
    <row r="98" spans="1:4" x14ac:dyDescent="0.25">
      <c r="A98" s="111">
        <f>Données!A98</f>
        <v>5559</v>
      </c>
      <c r="B98" s="119" t="str">
        <f>Données!B98</f>
        <v>Giez</v>
      </c>
      <c r="C98" s="326">
        <f>Données!C98</f>
        <v>464</v>
      </c>
      <c r="D98" s="327">
        <f t="shared" si="1"/>
        <v>451761.73141747643</v>
      </c>
    </row>
    <row r="99" spans="1:4" x14ac:dyDescent="0.25">
      <c r="A99" s="111">
        <f>Données!A99</f>
        <v>5560</v>
      </c>
      <c r="B99" s="119" t="str">
        <f>Données!B99</f>
        <v>Grandevent</v>
      </c>
      <c r="C99" s="326">
        <f>Données!C99</f>
        <v>241</v>
      </c>
      <c r="D99" s="327">
        <f t="shared" si="1"/>
        <v>234643.48549916339</v>
      </c>
    </row>
    <row r="100" spans="1:4" x14ac:dyDescent="0.25">
      <c r="A100" s="111">
        <f>Données!A100</f>
        <v>5561</v>
      </c>
      <c r="B100" s="119" t="str">
        <f>Données!B100</f>
        <v>Grandson</v>
      </c>
      <c r="C100" s="326">
        <f>Données!C100</f>
        <v>3391</v>
      </c>
      <c r="D100" s="327">
        <f t="shared" si="1"/>
        <v>3301560.4121479797</v>
      </c>
    </row>
    <row r="101" spans="1:4" x14ac:dyDescent="0.25">
      <c r="A101" s="111">
        <f>Données!A101</f>
        <v>5562</v>
      </c>
      <c r="B101" s="119" t="str">
        <f>Données!B101</f>
        <v>Mauborget</v>
      </c>
      <c r="C101" s="326">
        <f>Données!C101</f>
        <v>137</v>
      </c>
      <c r="D101" s="327">
        <f t="shared" si="1"/>
        <v>133386.54569869454</v>
      </c>
    </row>
    <row r="102" spans="1:4" x14ac:dyDescent="0.25">
      <c r="A102" s="111">
        <f>Données!A102</f>
        <v>5563</v>
      </c>
      <c r="B102" s="119" t="str">
        <f>Données!B102</f>
        <v>Mutrux</v>
      </c>
      <c r="C102" s="326">
        <f>Données!C102</f>
        <v>138</v>
      </c>
      <c r="D102" s="327">
        <f t="shared" si="1"/>
        <v>134360.1701198529</v>
      </c>
    </row>
    <row r="103" spans="1:4" x14ac:dyDescent="0.25">
      <c r="A103" s="111">
        <f>Données!A103</f>
        <v>5564</v>
      </c>
      <c r="B103" s="119" t="str">
        <f>Données!B103</f>
        <v>Novalles</v>
      </c>
      <c r="C103" s="326">
        <f>Données!C103</f>
        <v>105</v>
      </c>
      <c r="D103" s="327">
        <f t="shared" si="1"/>
        <v>102230.56422162721</v>
      </c>
    </row>
    <row r="104" spans="1:4" x14ac:dyDescent="0.25">
      <c r="A104" s="111">
        <f>Données!A104</f>
        <v>5565</v>
      </c>
      <c r="B104" s="119" t="str">
        <f>Données!B104</f>
        <v>Onnens</v>
      </c>
      <c r="C104" s="326">
        <f>Données!C104</f>
        <v>527</v>
      </c>
      <c r="D104" s="327">
        <f t="shared" si="1"/>
        <v>513100.06995045277</v>
      </c>
    </row>
    <row r="105" spans="1:4" x14ac:dyDescent="0.25">
      <c r="A105" s="111">
        <f>Données!A105</f>
        <v>5566</v>
      </c>
      <c r="B105" s="119" t="str">
        <f>Données!B105</f>
        <v>Provence</v>
      </c>
      <c r="C105" s="326">
        <f>Données!C105</f>
        <v>421</v>
      </c>
      <c r="D105" s="327">
        <f t="shared" si="1"/>
        <v>409895.88130766718</v>
      </c>
    </row>
    <row r="106" spans="1:4" x14ac:dyDescent="0.25">
      <c r="A106" s="111">
        <f>Données!A106</f>
        <v>5568</v>
      </c>
      <c r="B106" s="119" t="str">
        <f>Données!B106</f>
        <v>Sainte-Croix</v>
      </c>
      <c r="C106" s="326">
        <f>Données!C106</f>
        <v>5149</v>
      </c>
      <c r="D106" s="327">
        <f t="shared" si="1"/>
        <v>5013192.1445443667</v>
      </c>
    </row>
    <row r="107" spans="1:4" x14ac:dyDescent="0.25">
      <c r="A107" s="111">
        <f>Données!A107</f>
        <v>5571</v>
      </c>
      <c r="B107" s="119" t="str">
        <f>Données!B107</f>
        <v>Tévenon</v>
      </c>
      <c r="C107" s="326">
        <f>Données!C107</f>
        <v>857</v>
      </c>
      <c r="D107" s="327">
        <f t="shared" si="1"/>
        <v>834396.12893270969</v>
      </c>
    </row>
    <row r="108" spans="1:4" x14ac:dyDescent="0.25">
      <c r="A108" s="111">
        <f>Données!A108</f>
        <v>5581</v>
      </c>
      <c r="B108" s="119" t="str">
        <f>Données!B108</f>
        <v>Belmont-sur-Lausanne</v>
      </c>
      <c r="C108" s="326">
        <f>Données!C108</f>
        <v>3891</v>
      </c>
      <c r="D108" s="327">
        <f t="shared" si="1"/>
        <v>3788372.6227271571</v>
      </c>
    </row>
    <row r="109" spans="1:4" x14ac:dyDescent="0.25">
      <c r="A109" s="111">
        <f>Données!A109</f>
        <v>5582</v>
      </c>
      <c r="B109" s="119" t="str">
        <f>Données!B109</f>
        <v>Cheseaux-sur-Lausanne</v>
      </c>
      <c r="C109" s="326">
        <f>Données!C109</f>
        <v>4870</v>
      </c>
      <c r="D109" s="327">
        <f t="shared" si="1"/>
        <v>4741550.9310411857</v>
      </c>
    </row>
    <row r="110" spans="1:4" x14ac:dyDescent="0.25">
      <c r="A110" s="111">
        <f>Données!A110</f>
        <v>5583</v>
      </c>
      <c r="B110" s="119" t="str">
        <f>Données!B110</f>
        <v>Crissier</v>
      </c>
      <c r="C110" s="326">
        <f>Données!C110</f>
        <v>11116</v>
      </c>
      <c r="D110" s="327">
        <f t="shared" si="1"/>
        <v>10822809.065596268</v>
      </c>
    </row>
    <row r="111" spans="1:4" x14ac:dyDescent="0.25">
      <c r="A111" s="111">
        <f>Données!A111</f>
        <v>5584</v>
      </c>
      <c r="B111" s="119" t="str">
        <f>Données!B111</f>
        <v>Epalinges</v>
      </c>
      <c r="C111" s="326">
        <f>Données!C111</f>
        <v>9869</v>
      </c>
      <c r="D111" s="327">
        <f t="shared" si="1"/>
        <v>9608699.4124117997</v>
      </c>
    </row>
    <row r="112" spans="1:4" x14ac:dyDescent="0.25">
      <c r="A112" s="111">
        <f>Données!A112</f>
        <v>5585</v>
      </c>
      <c r="B112" s="119" t="str">
        <f>Données!B112</f>
        <v>Jouxtens-Mézery</v>
      </c>
      <c r="C112" s="326">
        <f>Données!C112</f>
        <v>1455</v>
      </c>
      <c r="D112" s="327">
        <f t="shared" si="1"/>
        <v>1416623.5327854056</v>
      </c>
    </row>
    <row r="113" spans="1:4" x14ac:dyDescent="0.25">
      <c r="A113" s="111">
        <f>Données!A113</f>
        <v>5586</v>
      </c>
      <c r="B113" s="119" t="str">
        <f>Données!B113</f>
        <v>Lausanne</v>
      </c>
      <c r="C113" s="326">
        <f>Données!C113</f>
        <v>145707</v>
      </c>
      <c r="D113" s="327">
        <f t="shared" si="1"/>
        <v>141863893.53372034</v>
      </c>
    </row>
    <row r="114" spans="1:4" x14ac:dyDescent="0.25">
      <c r="A114" s="111">
        <f>Données!A114</f>
        <v>5587</v>
      </c>
      <c r="B114" s="119" t="str">
        <f>Données!B114</f>
        <v>Le Mont-sur-Lausanne</v>
      </c>
      <c r="C114" s="326">
        <f>Données!C114</f>
        <v>9785</v>
      </c>
      <c r="D114" s="327">
        <f t="shared" si="1"/>
        <v>9526914.9610344972</v>
      </c>
    </row>
    <row r="115" spans="1:4" x14ac:dyDescent="0.25">
      <c r="A115" s="111">
        <f>Données!A115</f>
        <v>5588</v>
      </c>
      <c r="B115" s="119" t="str">
        <f>Données!B115</f>
        <v>Paudex</v>
      </c>
      <c r="C115" s="326">
        <f>Données!C115</f>
        <v>1483</v>
      </c>
      <c r="D115" s="327">
        <f t="shared" si="1"/>
        <v>1443885.0165778396</v>
      </c>
    </row>
    <row r="116" spans="1:4" x14ac:dyDescent="0.25">
      <c r="A116" s="111">
        <f>Données!A116</f>
        <v>5589</v>
      </c>
      <c r="B116" s="119" t="str">
        <f>Données!B116</f>
        <v>Prilly</v>
      </c>
      <c r="C116" s="326">
        <f>Données!C116</f>
        <v>13069</v>
      </c>
      <c r="D116" s="327">
        <f t="shared" si="1"/>
        <v>12724297.560118534</v>
      </c>
    </row>
    <row r="117" spans="1:4" x14ac:dyDescent="0.25">
      <c r="A117" s="111">
        <f>Données!A117</f>
        <v>5590</v>
      </c>
      <c r="B117" s="119" t="str">
        <f>Données!B117</f>
        <v>Pully</v>
      </c>
      <c r="C117" s="326">
        <f>Données!C117</f>
        <v>19550</v>
      </c>
      <c r="D117" s="327">
        <f t="shared" si="1"/>
        <v>19034357.43364583</v>
      </c>
    </row>
    <row r="118" spans="1:4" x14ac:dyDescent="0.25">
      <c r="A118" s="111">
        <f>Données!A118</f>
        <v>5591</v>
      </c>
      <c r="B118" s="119" t="str">
        <f>Données!B118</f>
        <v>Renens</v>
      </c>
      <c r="C118" s="326">
        <f>Données!C118</f>
        <v>21827</v>
      </c>
      <c r="D118" s="327">
        <f t="shared" si="1"/>
        <v>21251300.2406234</v>
      </c>
    </row>
    <row r="119" spans="1:4" x14ac:dyDescent="0.25">
      <c r="A119" s="111">
        <f>Données!A119</f>
        <v>5592</v>
      </c>
      <c r="B119" s="119" t="str">
        <f>Données!B119</f>
        <v>Romanel-sur-Lausanne</v>
      </c>
      <c r="C119" s="326">
        <f>Données!C119</f>
        <v>4331</v>
      </c>
      <c r="D119" s="327">
        <f t="shared" si="1"/>
        <v>4216767.3680368327</v>
      </c>
    </row>
    <row r="120" spans="1:4" x14ac:dyDescent="0.25">
      <c r="A120" s="111">
        <f>Données!A120</f>
        <v>5601</v>
      </c>
      <c r="B120" s="119" t="str">
        <f>Données!B120</f>
        <v>Chexbres</v>
      </c>
      <c r="C120" s="326">
        <f>Données!C120</f>
        <v>2272</v>
      </c>
      <c r="D120" s="327">
        <f t="shared" si="1"/>
        <v>2212074.6848717812</v>
      </c>
    </row>
    <row r="121" spans="1:4" x14ac:dyDescent="0.25">
      <c r="A121" s="111">
        <f>Données!A121</f>
        <v>5604</v>
      </c>
      <c r="B121" s="119" t="str">
        <f>Données!B121</f>
        <v>Forel (Lavaux)</v>
      </c>
      <c r="C121" s="326">
        <f>Données!C121</f>
        <v>2113</v>
      </c>
      <c r="D121" s="327">
        <f t="shared" si="1"/>
        <v>2057268.4019076028</v>
      </c>
    </row>
    <row r="122" spans="1:4" x14ac:dyDescent="0.25">
      <c r="A122" s="111">
        <f>Données!A122</f>
        <v>5606</v>
      </c>
      <c r="B122" s="119" t="str">
        <f>Données!B122</f>
        <v>Lutry</v>
      </c>
      <c r="C122" s="326">
        <f>Données!C122</f>
        <v>10843</v>
      </c>
      <c r="D122" s="327">
        <f t="shared" si="1"/>
        <v>10557009.598620037</v>
      </c>
    </row>
    <row r="123" spans="1:4" x14ac:dyDescent="0.25">
      <c r="A123" s="111">
        <f>Données!A123</f>
        <v>5607</v>
      </c>
      <c r="B123" s="119" t="str">
        <f>Données!B123</f>
        <v>Puidoux</v>
      </c>
      <c r="C123" s="326">
        <f>Données!C123</f>
        <v>3014</v>
      </c>
      <c r="D123" s="327">
        <f t="shared" si="1"/>
        <v>2934504.00537128</v>
      </c>
    </row>
    <row r="124" spans="1:4" x14ac:dyDescent="0.25">
      <c r="A124" s="111">
        <f>Données!A124</f>
        <v>5609</v>
      </c>
      <c r="B124" s="119" t="str">
        <f>Données!B124</f>
        <v>Rivaz</v>
      </c>
      <c r="C124" s="326">
        <f>Données!C124</f>
        <v>330</v>
      </c>
      <c r="D124" s="327">
        <f t="shared" si="1"/>
        <v>321296.05898225692</v>
      </c>
    </row>
    <row r="125" spans="1:4" x14ac:dyDescent="0.25">
      <c r="A125" s="111">
        <f>Données!A125</f>
        <v>5610</v>
      </c>
      <c r="B125" s="119" t="str">
        <f>Données!B125</f>
        <v>St-Saphorin (Lavaux)</v>
      </c>
      <c r="C125" s="326">
        <f>Données!C125</f>
        <v>393</v>
      </c>
      <c r="D125" s="327">
        <f t="shared" si="1"/>
        <v>382634.39751523326</v>
      </c>
    </row>
    <row r="126" spans="1:4" x14ac:dyDescent="0.25">
      <c r="A126" s="111">
        <f>Données!A126</f>
        <v>5611</v>
      </c>
      <c r="B126" s="119" t="str">
        <f>Données!B126</f>
        <v>Savigny</v>
      </c>
      <c r="C126" s="326">
        <f>Données!C126</f>
        <v>3598</v>
      </c>
      <c r="D126" s="327">
        <f t="shared" si="1"/>
        <v>3503100.6673277589</v>
      </c>
    </row>
    <row r="127" spans="1:4" x14ac:dyDescent="0.25">
      <c r="A127" s="111">
        <f>Données!A127</f>
        <v>5613</v>
      </c>
      <c r="B127" s="119" t="str">
        <f>Données!B127</f>
        <v>Bourg-en-Lavaux</v>
      </c>
      <c r="C127" s="326">
        <f>Données!C127</f>
        <v>5558</v>
      </c>
      <c r="D127" s="327">
        <f t="shared" si="1"/>
        <v>5411404.5327981338</v>
      </c>
    </row>
    <row r="128" spans="1:4" x14ac:dyDescent="0.25">
      <c r="A128" s="111">
        <f>Données!A128</f>
        <v>5621</v>
      </c>
      <c r="B128" s="119" t="str">
        <f>Données!B128</f>
        <v>Aclens</v>
      </c>
      <c r="C128" s="326">
        <f>Données!C128</f>
        <v>609</v>
      </c>
      <c r="D128" s="327">
        <f t="shared" si="1"/>
        <v>592937.2724854378</v>
      </c>
    </row>
    <row r="129" spans="1:4" x14ac:dyDescent="0.25">
      <c r="A129" s="111">
        <f>Données!A129</f>
        <v>5622</v>
      </c>
      <c r="B129" s="119" t="str">
        <f>Données!B129</f>
        <v>Bremblens</v>
      </c>
      <c r="C129" s="326">
        <f>Données!C129</f>
        <v>596</v>
      </c>
      <c r="D129" s="327">
        <f t="shared" si="1"/>
        <v>580280.15501037915</v>
      </c>
    </row>
    <row r="130" spans="1:4" x14ac:dyDescent="0.25">
      <c r="A130" s="111">
        <f>Données!A130</f>
        <v>5623</v>
      </c>
      <c r="B130" s="119" t="str">
        <f>Données!B130</f>
        <v>Buchillon</v>
      </c>
      <c r="C130" s="326">
        <f>Données!C130</f>
        <v>682</v>
      </c>
      <c r="D130" s="327">
        <f t="shared" si="1"/>
        <v>664011.85522999766</v>
      </c>
    </row>
    <row r="131" spans="1:4" x14ac:dyDescent="0.25">
      <c r="A131" s="111">
        <f>Données!A131</f>
        <v>5624</v>
      </c>
      <c r="B131" s="119" t="str">
        <f>Données!B131</f>
        <v>Bussigny</v>
      </c>
      <c r="C131" s="326">
        <f>Données!C131</f>
        <v>12138</v>
      </c>
      <c r="D131" s="327">
        <f t="shared" si="1"/>
        <v>11817853.224020105</v>
      </c>
    </row>
    <row r="132" spans="1:4" x14ac:dyDescent="0.25">
      <c r="A132" s="111">
        <f>Données!A132</f>
        <v>5627</v>
      </c>
      <c r="B132" s="119" t="str">
        <f>Données!B132</f>
        <v>Chavannes-près-Renens</v>
      </c>
      <c r="C132" s="326">
        <f>Données!C132</f>
        <v>10735</v>
      </c>
      <c r="D132" s="327">
        <f t="shared" si="1"/>
        <v>10451858.161134934</v>
      </c>
    </row>
    <row r="133" spans="1:4" x14ac:dyDescent="0.25">
      <c r="A133" s="111">
        <f>Données!A133</f>
        <v>5628</v>
      </c>
      <c r="B133" s="119" t="str">
        <f>Données!B133</f>
        <v>Chigny</v>
      </c>
      <c r="C133" s="326">
        <f>Données!C133</f>
        <v>410</v>
      </c>
      <c r="D133" s="327">
        <f t="shared" si="1"/>
        <v>399186.01267492527</v>
      </c>
    </row>
    <row r="134" spans="1:4" x14ac:dyDescent="0.25">
      <c r="A134" s="111">
        <f>Données!A134</f>
        <v>5629</v>
      </c>
      <c r="B134" s="119" t="str">
        <f>Données!B134</f>
        <v>Clarmont</v>
      </c>
      <c r="C134" s="326">
        <f>Données!C134</f>
        <v>232</v>
      </c>
      <c r="D134" s="327">
        <f t="shared" si="1"/>
        <v>225880.86570873822</v>
      </c>
    </row>
    <row r="135" spans="1:4" x14ac:dyDescent="0.25">
      <c r="A135" s="111">
        <f>Données!A135</f>
        <v>5631</v>
      </c>
      <c r="B135" s="119" t="str">
        <f>Données!B135</f>
        <v>Denens</v>
      </c>
      <c r="C135" s="326">
        <f>Données!C135</f>
        <v>748</v>
      </c>
      <c r="D135" s="327">
        <f t="shared" si="1"/>
        <v>728271.06702644913</v>
      </c>
    </row>
    <row r="136" spans="1:4" x14ac:dyDescent="0.25">
      <c r="A136" s="111">
        <f>Données!A136</f>
        <v>5632</v>
      </c>
      <c r="B136" s="119" t="str">
        <f>Données!B136</f>
        <v>Denges</v>
      </c>
      <c r="C136" s="326">
        <f>Données!C136</f>
        <v>1844</v>
      </c>
      <c r="D136" s="327">
        <f t="shared" ref="D136:D199" si="2">$D$4/$C$308*C136</f>
        <v>1795363.4326160054</v>
      </c>
    </row>
    <row r="137" spans="1:4" x14ac:dyDescent="0.25">
      <c r="A137" s="111">
        <f>Données!A137</f>
        <v>5633</v>
      </c>
      <c r="B137" s="119" t="str">
        <f>Données!B137</f>
        <v>Echandens</v>
      </c>
      <c r="C137" s="326">
        <f>Données!C137</f>
        <v>3116</v>
      </c>
      <c r="D137" s="327">
        <f t="shared" si="2"/>
        <v>3033813.6963294321</v>
      </c>
    </row>
    <row r="138" spans="1:4" x14ac:dyDescent="0.25">
      <c r="A138" s="111">
        <f>Données!A138</f>
        <v>5634</v>
      </c>
      <c r="B138" s="119" t="str">
        <f>Données!B138</f>
        <v>Echichens</v>
      </c>
      <c r="C138" s="326">
        <f>Données!C138</f>
        <v>3241</v>
      </c>
      <c r="D138" s="327">
        <f t="shared" si="2"/>
        <v>3155516.7489742264</v>
      </c>
    </row>
    <row r="139" spans="1:4" x14ac:dyDescent="0.25">
      <c r="A139" s="111">
        <f>Données!A139</f>
        <v>5635</v>
      </c>
      <c r="B139" s="119" t="str">
        <f>Données!B139</f>
        <v>Ecublens</v>
      </c>
      <c r="C139" s="326">
        <f>Données!C139</f>
        <v>13758</v>
      </c>
      <c r="D139" s="327">
        <f t="shared" si="2"/>
        <v>13395124.78629664</v>
      </c>
    </row>
    <row r="140" spans="1:4" x14ac:dyDescent="0.25">
      <c r="A140" s="111">
        <f>Données!A140</f>
        <v>5636</v>
      </c>
      <c r="B140" s="119" t="str">
        <f>Données!B140</f>
        <v>Etoy</v>
      </c>
      <c r="C140" s="326">
        <f>Données!C140</f>
        <v>3013</v>
      </c>
      <c r="D140" s="327">
        <f t="shared" si="2"/>
        <v>2933530.3809501217</v>
      </c>
    </row>
    <row r="141" spans="1:4" x14ac:dyDescent="0.25">
      <c r="A141" s="111">
        <f>Données!A141</f>
        <v>5637</v>
      </c>
      <c r="B141" s="119" t="str">
        <f>Données!B141</f>
        <v>Lavigny</v>
      </c>
      <c r="C141" s="326">
        <f>Données!C141</f>
        <v>1108</v>
      </c>
      <c r="D141" s="327">
        <f t="shared" si="2"/>
        <v>1078775.8586434566</v>
      </c>
    </row>
    <row r="142" spans="1:4" x14ac:dyDescent="0.25">
      <c r="A142" s="111">
        <f>Données!A142</f>
        <v>5638</v>
      </c>
      <c r="B142" s="119" t="str">
        <f>Données!B142</f>
        <v>Lonay</v>
      </c>
      <c r="C142" s="326">
        <f>Données!C142</f>
        <v>2719</v>
      </c>
      <c r="D142" s="327">
        <f t="shared" si="2"/>
        <v>2647284.8011295656</v>
      </c>
    </row>
    <row r="143" spans="1:4" x14ac:dyDescent="0.25">
      <c r="A143" s="111">
        <f>Données!A143</f>
        <v>5639</v>
      </c>
      <c r="B143" s="119" t="str">
        <f>Données!B143</f>
        <v>Lully</v>
      </c>
      <c r="C143" s="326">
        <f>Données!C143</f>
        <v>824</v>
      </c>
      <c r="D143" s="327">
        <f t="shared" si="2"/>
        <v>802266.52303448401</v>
      </c>
    </row>
    <row r="144" spans="1:4" x14ac:dyDescent="0.25">
      <c r="A144" s="111">
        <f>Données!A144</f>
        <v>5640</v>
      </c>
      <c r="B144" s="119" t="str">
        <f>Données!B144</f>
        <v>Lussy-sur-Morges</v>
      </c>
      <c r="C144" s="326">
        <f>Données!C144</f>
        <v>721</v>
      </c>
      <c r="D144" s="327">
        <f t="shared" si="2"/>
        <v>701983.20765517349</v>
      </c>
    </row>
    <row r="145" spans="1:4" x14ac:dyDescent="0.25">
      <c r="A145" s="111">
        <f>Données!A145</f>
        <v>5642</v>
      </c>
      <c r="B145" s="119" t="str">
        <f>Données!B145</f>
        <v>Morges</v>
      </c>
      <c r="C145" s="326">
        <f>Données!C145</f>
        <v>17813</v>
      </c>
      <c r="D145" s="327">
        <f t="shared" si="2"/>
        <v>17343171.814093765</v>
      </c>
    </row>
    <row r="146" spans="1:4" x14ac:dyDescent="0.25">
      <c r="A146" s="111">
        <f>Données!A146</f>
        <v>5643</v>
      </c>
      <c r="B146" s="119" t="str">
        <f>Données!B146</f>
        <v>Préverenges</v>
      </c>
      <c r="C146" s="326">
        <f>Données!C146</f>
        <v>5236</v>
      </c>
      <c r="D146" s="327">
        <f t="shared" si="2"/>
        <v>5097897.4691851437</v>
      </c>
    </row>
    <row r="147" spans="1:4" x14ac:dyDescent="0.25">
      <c r="A147" s="111">
        <f>Données!A147</f>
        <v>5645</v>
      </c>
      <c r="B147" s="119" t="str">
        <f>Données!B147</f>
        <v>Romanel-sur-Morges</v>
      </c>
      <c r="C147" s="326">
        <f>Données!C147</f>
        <v>462</v>
      </c>
      <c r="D147" s="327">
        <f t="shared" si="2"/>
        <v>449814.48257515975</v>
      </c>
    </row>
    <row r="148" spans="1:4" x14ac:dyDescent="0.25">
      <c r="A148" s="111">
        <f>Données!A148</f>
        <v>5646</v>
      </c>
      <c r="B148" s="119" t="str">
        <f>Données!B148</f>
        <v>Saint-Prex</v>
      </c>
      <c r="C148" s="326">
        <f>Données!C148</f>
        <v>5922</v>
      </c>
      <c r="D148" s="327">
        <f t="shared" si="2"/>
        <v>5765803.8220997751</v>
      </c>
    </row>
    <row r="149" spans="1:4" x14ac:dyDescent="0.25">
      <c r="A149" s="111">
        <f>Données!A149</f>
        <v>5648</v>
      </c>
      <c r="B149" s="119" t="str">
        <f>Données!B149</f>
        <v>Saint-Sulpice</v>
      </c>
      <c r="C149" s="326">
        <f>Données!C149</f>
        <v>5193</v>
      </c>
      <c r="D149" s="327">
        <f t="shared" si="2"/>
        <v>5056031.6190753346</v>
      </c>
    </row>
    <row r="150" spans="1:4" x14ac:dyDescent="0.25">
      <c r="A150" s="111">
        <f>Données!A150</f>
        <v>5649</v>
      </c>
      <c r="B150" s="119" t="str">
        <f>Données!B150</f>
        <v>Tolochenaz</v>
      </c>
      <c r="C150" s="326">
        <f>Données!C150</f>
        <v>1928</v>
      </c>
      <c r="D150" s="327">
        <f t="shared" si="2"/>
        <v>1877147.8839933071</v>
      </c>
    </row>
    <row r="151" spans="1:4" x14ac:dyDescent="0.25">
      <c r="A151" s="111">
        <f>Données!A151</f>
        <v>5650</v>
      </c>
      <c r="B151" s="119" t="str">
        <f>Données!B151</f>
        <v>Vaux-sur-Morges</v>
      </c>
      <c r="C151" s="326">
        <f>Données!C151</f>
        <v>185</v>
      </c>
      <c r="D151" s="327">
        <f t="shared" si="2"/>
        <v>180120.51791429555</v>
      </c>
    </row>
    <row r="152" spans="1:4" x14ac:dyDescent="0.25">
      <c r="A152" s="111">
        <f>Données!A152</f>
        <v>5651</v>
      </c>
      <c r="B152" s="119" t="str">
        <f>Données!B152</f>
        <v>Villars-Sainte-Croix</v>
      </c>
      <c r="C152" s="326">
        <f>Données!C152</f>
        <v>943</v>
      </c>
      <c r="D152" s="327">
        <f t="shared" si="2"/>
        <v>918127.8291523282</v>
      </c>
    </row>
    <row r="153" spans="1:4" x14ac:dyDescent="0.25">
      <c r="A153" s="111">
        <f>Données!A153</f>
        <v>5652</v>
      </c>
      <c r="B153" s="119" t="str">
        <f>Données!B153</f>
        <v>Villars-sous-Yens</v>
      </c>
      <c r="C153" s="326">
        <f>Données!C153</f>
        <v>603</v>
      </c>
      <c r="D153" s="327">
        <f t="shared" si="2"/>
        <v>587095.52595848765</v>
      </c>
    </row>
    <row r="154" spans="1:4" x14ac:dyDescent="0.25">
      <c r="A154" s="111">
        <f>Données!A154</f>
        <v>5653</v>
      </c>
      <c r="B154" s="119" t="str">
        <f>Données!B154</f>
        <v>Vufflens-le-Château</v>
      </c>
      <c r="C154" s="326">
        <f>Données!C154</f>
        <v>887</v>
      </c>
      <c r="D154" s="327">
        <f t="shared" si="2"/>
        <v>863604.86156746035</v>
      </c>
    </row>
    <row r="155" spans="1:4" x14ac:dyDescent="0.25">
      <c r="A155" s="111">
        <f>Données!A155</f>
        <v>5654</v>
      </c>
      <c r="B155" s="119" t="str">
        <f>Données!B155</f>
        <v>Vullierens</v>
      </c>
      <c r="C155" s="326">
        <f>Données!C155</f>
        <v>577</v>
      </c>
      <c r="D155" s="327">
        <f t="shared" si="2"/>
        <v>561781.29100837046</v>
      </c>
    </row>
    <row r="156" spans="1:4" x14ac:dyDescent="0.25">
      <c r="A156" s="111">
        <f>Données!A156</f>
        <v>5655</v>
      </c>
      <c r="B156" s="119" t="str">
        <f>Données!B156</f>
        <v>Yens</v>
      </c>
      <c r="C156" s="326">
        <f>Données!C156</f>
        <v>1481</v>
      </c>
      <c r="D156" s="327">
        <f t="shared" si="2"/>
        <v>1441937.7677355229</v>
      </c>
    </row>
    <row r="157" spans="1:4" x14ac:dyDescent="0.25">
      <c r="A157" s="111">
        <f>Données!A157</f>
        <v>5656</v>
      </c>
      <c r="B157" s="119" t="str">
        <f>Données!B157</f>
        <v>Hautemorges</v>
      </c>
      <c r="C157" s="326">
        <f>Données!C157</f>
        <v>4426</v>
      </c>
      <c r="D157" s="327">
        <f t="shared" si="2"/>
        <v>4309261.6880468763</v>
      </c>
    </row>
    <row r="158" spans="1:4" x14ac:dyDescent="0.25">
      <c r="A158" s="111">
        <f>Données!A158</f>
        <v>5661</v>
      </c>
      <c r="B158" s="119" t="str">
        <f>Données!B158</f>
        <v>Boulens</v>
      </c>
      <c r="C158" s="326">
        <f>Données!C158</f>
        <v>371</v>
      </c>
      <c r="D158" s="327">
        <f t="shared" si="2"/>
        <v>361214.66024974949</v>
      </c>
    </row>
    <row r="159" spans="1:4" x14ac:dyDescent="0.25">
      <c r="A159" s="111">
        <f>Données!A159</f>
        <v>5663</v>
      </c>
      <c r="B159" s="119" t="str">
        <f>Données!B159</f>
        <v>Bussy-sur-Moudon</v>
      </c>
      <c r="C159" s="326">
        <f>Données!C159</f>
        <v>267</v>
      </c>
      <c r="D159" s="327">
        <f t="shared" si="2"/>
        <v>259957.72044928063</v>
      </c>
    </row>
    <row r="160" spans="1:4" x14ac:dyDescent="0.25">
      <c r="A160" s="111">
        <f>Données!A160</f>
        <v>5665</v>
      </c>
      <c r="B160" s="119" t="str">
        <f>Données!B160</f>
        <v>Chavannes-sur-Moudon</v>
      </c>
      <c r="C160" s="326">
        <f>Données!C160</f>
        <v>232</v>
      </c>
      <c r="D160" s="327">
        <f t="shared" si="2"/>
        <v>225880.86570873822</v>
      </c>
    </row>
    <row r="161" spans="1:4" x14ac:dyDescent="0.25">
      <c r="A161" s="111">
        <f>Données!A161</f>
        <v>5669</v>
      </c>
      <c r="B161" s="119" t="str">
        <f>Données!B161</f>
        <v>Curtilles</v>
      </c>
      <c r="C161" s="326">
        <f>Données!C161</f>
        <v>302</v>
      </c>
      <c r="D161" s="327">
        <f t="shared" si="2"/>
        <v>294034.57518982305</v>
      </c>
    </row>
    <row r="162" spans="1:4" x14ac:dyDescent="0.25">
      <c r="A162" s="111">
        <f>Données!A162</f>
        <v>5671</v>
      </c>
      <c r="B162" s="119" t="str">
        <f>Données!B162</f>
        <v>Dompierre</v>
      </c>
      <c r="C162" s="326">
        <f>Données!C162</f>
        <v>242</v>
      </c>
      <c r="D162" s="327">
        <f t="shared" si="2"/>
        <v>235617.10992032176</v>
      </c>
    </row>
    <row r="163" spans="1:4" x14ac:dyDescent="0.25">
      <c r="A163" s="111">
        <f>Données!A163</f>
        <v>5673</v>
      </c>
      <c r="B163" s="119" t="str">
        <f>Données!B163</f>
        <v>Hermenches</v>
      </c>
      <c r="C163" s="326">
        <f>Données!C163</f>
        <v>364</v>
      </c>
      <c r="D163" s="327">
        <f t="shared" si="2"/>
        <v>354399.28930164099</v>
      </c>
    </row>
    <row r="164" spans="1:4" x14ac:dyDescent="0.25">
      <c r="A164" s="111">
        <f>Données!A164</f>
        <v>5674</v>
      </c>
      <c r="B164" s="119" t="str">
        <f>Données!B164</f>
        <v>Lovatens</v>
      </c>
      <c r="C164" s="326">
        <f>Données!C164</f>
        <v>152</v>
      </c>
      <c r="D164" s="327">
        <f t="shared" si="2"/>
        <v>147990.91201606987</v>
      </c>
    </row>
    <row r="165" spans="1:4" x14ac:dyDescent="0.25">
      <c r="A165" s="111">
        <f>Données!A165</f>
        <v>5675</v>
      </c>
      <c r="B165" s="119" t="str">
        <f>Données!B165</f>
        <v>Lucens</v>
      </c>
      <c r="C165" s="326">
        <f>Données!C165</f>
        <v>4892</v>
      </c>
      <c r="D165" s="327">
        <f t="shared" si="2"/>
        <v>4762970.6683066692</v>
      </c>
    </row>
    <row r="166" spans="1:4" x14ac:dyDescent="0.25">
      <c r="A166" s="111">
        <f>Données!A166</f>
        <v>5678</v>
      </c>
      <c r="B166" s="119" t="str">
        <f>Données!B166</f>
        <v>Moudon</v>
      </c>
      <c r="C166" s="326">
        <f>Données!C166</f>
        <v>6847</v>
      </c>
      <c r="D166" s="327">
        <f t="shared" si="2"/>
        <v>6666406.411671252</v>
      </c>
    </row>
    <row r="167" spans="1:4" x14ac:dyDescent="0.25">
      <c r="A167" s="111">
        <f>Données!A167</f>
        <v>5680</v>
      </c>
      <c r="B167" s="119" t="str">
        <f>Données!B167</f>
        <v>Ogens</v>
      </c>
      <c r="C167" s="326">
        <f>Données!C167</f>
        <v>342</v>
      </c>
      <c r="D167" s="327">
        <f t="shared" si="2"/>
        <v>332979.55203615723</v>
      </c>
    </row>
    <row r="168" spans="1:4" x14ac:dyDescent="0.25">
      <c r="A168" s="111">
        <f>Données!A168</f>
        <v>5683</v>
      </c>
      <c r="B168" s="119" t="str">
        <f>Données!B168</f>
        <v>Prévonloup</v>
      </c>
      <c r="C168" s="326">
        <f>Données!C168</f>
        <v>249</v>
      </c>
      <c r="D168" s="327">
        <f t="shared" si="2"/>
        <v>242432.48086843023</v>
      </c>
    </row>
    <row r="169" spans="1:4" x14ac:dyDescent="0.25">
      <c r="A169" s="111">
        <f>Données!A169</f>
        <v>5684</v>
      </c>
      <c r="B169" s="119" t="str">
        <f>Données!B169</f>
        <v>Rossenges</v>
      </c>
      <c r="C169" s="326">
        <f>Données!C169</f>
        <v>82</v>
      </c>
      <c r="D169" s="327">
        <f t="shared" si="2"/>
        <v>79837.202534985059</v>
      </c>
    </row>
    <row r="170" spans="1:4" x14ac:dyDescent="0.25">
      <c r="A170" s="111">
        <f>Données!A170</f>
        <v>5688</v>
      </c>
      <c r="B170" s="119" t="str">
        <f>Données!B170</f>
        <v>Syens</v>
      </c>
      <c r="C170" s="326">
        <f>Données!C170</f>
        <v>144</v>
      </c>
      <c r="D170" s="327">
        <f t="shared" si="2"/>
        <v>140201.91664680303</v>
      </c>
    </row>
    <row r="171" spans="1:4" x14ac:dyDescent="0.25">
      <c r="A171" s="111">
        <f>Données!A171</f>
        <v>5690</v>
      </c>
      <c r="B171" s="119" t="str">
        <f>Données!B171</f>
        <v>Villars-le-Comte</v>
      </c>
      <c r="C171" s="326">
        <f>Données!C171</f>
        <v>129</v>
      </c>
      <c r="D171" s="327">
        <f t="shared" si="2"/>
        <v>125597.55032942772</v>
      </c>
    </row>
    <row r="172" spans="1:4" x14ac:dyDescent="0.25">
      <c r="A172" s="111">
        <f>Données!A172</f>
        <v>5692</v>
      </c>
      <c r="B172" s="119" t="str">
        <f>Données!B172</f>
        <v>Vucherens</v>
      </c>
      <c r="C172" s="326">
        <f>Données!C172</f>
        <v>634</v>
      </c>
      <c r="D172" s="327">
        <f t="shared" si="2"/>
        <v>617277.88301439665</v>
      </c>
    </row>
    <row r="173" spans="1:4" x14ac:dyDescent="0.25">
      <c r="A173" s="111">
        <f>Données!A173</f>
        <v>5693</v>
      </c>
      <c r="B173" s="119" t="str">
        <f>Données!B173</f>
        <v>Montanaire</v>
      </c>
      <c r="C173" s="326">
        <f>Données!C173</f>
        <v>2856</v>
      </c>
      <c r="D173" s="327">
        <f t="shared" si="2"/>
        <v>2780671.34682826</v>
      </c>
    </row>
    <row r="174" spans="1:4" x14ac:dyDescent="0.25">
      <c r="A174" s="111">
        <f>Données!A174</f>
        <v>5701</v>
      </c>
      <c r="B174" s="119" t="str">
        <f>Données!B174</f>
        <v>Arnex-sur-Nyon</v>
      </c>
      <c r="C174" s="326">
        <f>Données!C174</f>
        <v>274</v>
      </c>
      <c r="D174" s="327">
        <f t="shared" si="2"/>
        <v>266773.09139738907</v>
      </c>
    </row>
    <row r="175" spans="1:4" x14ac:dyDescent="0.25">
      <c r="A175" s="111">
        <f>Données!A175</f>
        <v>5702</v>
      </c>
      <c r="B175" s="119" t="str">
        <f>Données!B175</f>
        <v>Arzier-Le Muids</v>
      </c>
      <c r="C175" s="326">
        <f>Données!C175</f>
        <v>2999</v>
      </c>
      <c r="D175" s="327">
        <f t="shared" si="2"/>
        <v>2919899.6390539049</v>
      </c>
    </row>
    <row r="176" spans="1:4" x14ac:dyDescent="0.25">
      <c r="A176" s="111">
        <f>Données!A176</f>
        <v>5703</v>
      </c>
      <c r="B176" s="119" t="str">
        <f>Données!B176</f>
        <v>Bassins</v>
      </c>
      <c r="C176" s="326">
        <f>Données!C176</f>
        <v>1468</v>
      </c>
      <c r="D176" s="327">
        <f t="shared" si="2"/>
        <v>1429280.6502604643</v>
      </c>
    </row>
    <row r="177" spans="1:4" x14ac:dyDescent="0.25">
      <c r="A177" s="111">
        <f>Données!A177</f>
        <v>5704</v>
      </c>
      <c r="B177" s="119" t="str">
        <f>Données!B177</f>
        <v>Begnins</v>
      </c>
      <c r="C177" s="326">
        <f>Données!C177</f>
        <v>2047</v>
      </c>
      <c r="D177" s="327">
        <f t="shared" si="2"/>
        <v>1993009.1901111514</v>
      </c>
    </row>
    <row r="178" spans="1:4" x14ac:dyDescent="0.25">
      <c r="A178" s="111">
        <f>Données!A178</f>
        <v>5705</v>
      </c>
      <c r="B178" s="119" t="str">
        <f>Données!B178</f>
        <v>Bogis-Bossey</v>
      </c>
      <c r="C178" s="326">
        <f>Données!C178</f>
        <v>961</v>
      </c>
      <c r="D178" s="327">
        <f t="shared" si="2"/>
        <v>935653.06873317854</v>
      </c>
    </row>
    <row r="179" spans="1:4" x14ac:dyDescent="0.25">
      <c r="A179" s="111">
        <f>Données!A179</f>
        <v>5706</v>
      </c>
      <c r="B179" s="119" t="str">
        <f>Données!B179</f>
        <v>Borex</v>
      </c>
      <c r="C179" s="326">
        <f>Données!C179</f>
        <v>1168</v>
      </c>
      <c r="D179" s="327">
        <f t="shared" si="2"/>
        <v>1137193.3239129579</v>
      </c>
    </row>
    <row r="180" spans="1:4" x14ac:dyDescent="0.25">
      <c r="A180" s="111">
        <f>Données!A180</f>
        <v>5707</v>
      </c>
      <c r="B180" s="119" t="str">
        <f>Données!B180</f>
        <v>Chavannes-de-Bogis</v>
      </c>
      <c r="C180" s="326">
        <f>Données!C180</f>
        <v>1423</v>
      </c>
      <c r="D180" s="327">
        <f t="shared" si="2"/>
        <v>1385467.5513083383</v>
      </c>
    </row>
    <row r="181" spans="1:4" x14ac:dyDescent="0.25">
      <c r="A181" s="111">
        <f>Données!A181</f>
        <v>5708</v>
      </c>
      <c r="B181" s="119" t="str">
        <f>Données!B181</f>
        <v>Chavannes-des-Bois</v>
      </c>
      <c r="C181" s="326">
        <f>Données!C181</f>
        <v>983</v>
      </c>
      <c r="D181" s="327">
        <f t="shared" si="2"/>
        <v>957072.80599866237</v>
      </c>
    </row>
    <row r="182" spans="1:4" x14ac:dyDescent="0.25">
      <c r="A182" s="111">
        <f>Données!A182</f>
        <v>5709</v>
      </c>
      <c r="B182" s="119" t="str">
        <f>Données!B182</f>
        <v>Chéserex</v>
      </c>
      <c r="C182" s="326">
        <f>Données!C182</f>
        <v>1272</v>
      </c>
      <c r="D182" s="327">
        <f t="shared" si="2"/>
        <v>1238450.2637134269</v>
      </c>
    </row>
    <row r="183" spans="1:4" x14ac:dyDescent="0.25">
      <c r="A183" s="111">
        <f>Données!A183</f>
        <v>5710</v>
      </c>
      <c r="B183" s="119" t="str">
        <f>Données!B183</f>
        <v>Coinsins</v>
      </c>
      <c r="C183" s="326">
        <f>Données!C183</f>
        <v>510</v>
      </c>
      <c r="D183" s="327">
        <f t="shared" si="2"/>
        <v>496548.45479076076</v>
      </c>
    </row>
    <row r="184" spans="1:4" x14ac:dyDescent="0.25">
      <c r="A184" s="111">
        <f>Données!A184</f>
        <v>5711</v>
      </c>
      <c r="B184" s="119" t="str">
        <f>Données!B184</f>
        <v>Commugny</v>
      </c>
      <c r="C184" s="326">
        <f>Données!C184</f>
        <v>2968</v>
      </c>
      <c r="D184" s="327">
        <f t="shared" si="2"/>
        <v>2889717.2819979959</v>
      </c>
    </row>
    <row r="185" spans="1:4" x14ac:dyDescent="0.25">
      <c r="A185" s="111">
        <f>Données!A185</f>
        <v>5712</v>
      </c>
      <c r="B185" s="119" t="str">
        <f>Données!B185</f>
        <v>Coppet</v>
      </c>
      <c r="C185" s="326">
        <f>Données!C185</f>
        <v>3233</v>
      </c>
      <c r="D185" s="327">
        <f t="shared" si="2"/>
        <v>3147727.7536049597</v>
      </c>
    </row>
    <row r="186" spans="1:4" x14ac:dyDescent="0.25">
      <c r="A186" s="111">
        <f>Données!A186</f>
        <v>5713</v>
      </c>
      <c r="B186" s="119" t="str">
        <f>Données!B186</f>
        <v>Crans</v>
      </c>
      <c r="C186" s="326">
        <f>Données!C186</f>
        <v>2483</v>
      </c>
      <c r="D186" s="327">
        <f t="shared" si="2"/>
        <v>2417509.4377361941</v>
      </c>
    </row>
    <row r="187" spans="1:4" x14ac:dyDescent="0.25">
      <c r="A187" s="111">
        <f>Données!A187</f>
        <v>5714</v>
      </c>
      <c r="B187" s="119" t="str">
        <f>Données!B187</f>
        <v>Crassier</v>
      </c>
      <c r="C187" s="326">
        <f>Données!C187</f>
        <v>1272</v>
      </c>
      <c r="D187" s="327">
        <f t="shared" si="2"/>
        <v>1238450.2637134269</v>
      </c>
    </row>
    <row r="188" spans="1:4" x14ac:dyDescent="0.25">
      <c r="A188" s="111">
        <f>Données!A188</f>
        <v>5715</v>
      </c>
      <c r="B188" s="119" t="str">
        <f>Données!B188</f>
        <v>Duillier</v>
      </c>
      <c r="C188" s="326">
        <f>Données!C188</f>
        <v>1120</v>
      </c>
      <c r="D188" s="327">
        <f t="shared" si="2"/>
        <v>1090459.3516973569</v>
      </c>
    </row>
    <row r="189" spans="1:4" x14ac:dyDescent="0.25">
      <c r="A189" s="111">
        <f>Données!A189</f>
        <v>5716</v>
      </c>
      <c r="B189" s="119" t="str">
        <f>Données!B189</f>
        <v>Eysins</v>
      </c>
      <c r="C189" s="326">
        <f>Données!C189</f>
        <v>1811</v>
      </c>
      <c r="D189" s="327">
        <f t="shared" si="2"/>
        <v>1763233.8267177797</v>
      </c>
    </row>
    <row r="190" spans="1:4" x14ac:dyDescent="0.25">
      <c r="A190" s="111">
        <f>Données!A190</f>
        <v>5717</v>
      </c>
      <c r="B190" s="119" t="str">
        <f>Données!B190</f>
        <v>Founex</v>
      </c>
      <c r="C190" s="326">
        <f>Données!C190</f>
        <v>3737</v>
      </c>
      <c r="D190" s="327">
        <f t="shared" si="2"/>
        <v>3638434.4618687704</v>
      </c>
    </row>
    <row r="191" spans="1:4" x14ac:dyDescent="0.25">
      <c r="A191" s="111">
        <f>Données!A191</f>
        <v>5718</v>
      </c>
      <c r="B191" s="119" t="str">
        <f>Données!B191</f>
        <v>Genolier</v>
      </c>
      <c r="C191" s="326">
        <f>Données!C191</f>
        <v>2071</v>
      </c>
      <c r="D191" s="327">
        <f t="shared" si="2"/>
        <v>2016376.1762189518</v>
      </c>
    </row>
    <row r="192" spans="1:4" x14ac:dyDescent="0.25">
      <c r="A192" s="111">
        <f>Données!A192</f>
        <v>5719</v>
      </c>
      <c r="B192" s="119" t="str">
        <f>Données!B192</f>
        <v>Gingins</v>
      </c>
      <c r="C192" s="326">
        <f>Données!C192</f>
        <v>1241</v>
      </c>
      <c r="D192" s="327">
        <f t="shared" si="2"/>
        <v>1208267.9066575179</v>
      </c>
    </row>
    <row r="193" spans="1:4" x14ac:dyDescent="0.25">
      <c r="A193" s="111">
        <f>Données!A193</f>
        <v>5720</v>
      </c>
      <c r="B193" s="119" t="str">
        <f>Données!B193</f>
        <v>Givrins</v>
      </c>
      <c r="C193" s="326">
        <f>Données!C193</f>
        <v>1096</v>
      </c>
      <c r="D193" s="327">
        <f t="shared" si="2"/>
        <v>1067092.3655895563</v>
      </c>
    </row>
    <row r="194" spans="1:4" x14ac:dyDescent="0.25">
      <c r="A194" s="111">
        <f>Données!A194</f>
        <v>5721</v>
      </c>
      <c r="B194" s="119" t="str">
        <f>Données!B194</f>
        <v>Gland</v>
      </c>
      <c r="C194" s="326">
        <f>Données!C194</f>
        <v>13978</v>
      </c>
      <c r="D194" s="327">
        <f t="shared" si="2"/>
        <v>13609322.158951478</v>
      </c>
    </row>
    <row r="195" spans="1:4" x14ac:dyDescent="0.25">
      <c r="A195" s="111">
        <f>Données!A195</f>
        <v>5722</v>
      </c>
      <c r="B195" s="119" t="str">
        <f>Données!B195</f>
        <v>Grens</v>
      </c>
      <c r="C195" s="326">
        <f>Données!C195</f>
        <v>413</v>
      </c>
      <c r="D195" s="327">
        <f t="shared" si="2"/>
        <v>402106.88593840034</v>
      </c>
    </row>
    <row r="196" spans="1:4" x14ac:dyDescent="0.25">
      <c r="A196" s="111">
        <f>Données!A196</f>
        <v>5723</v>
      </c>
      <c r="B196" s="119" t="str">
        <f>Données!B196</f>
        <v>Mies</v>
      </c>
      <c r="C196" s="326">
        <f>Données!C196</f>
        <v>2194</v>
      </c>
      <c r="D196" s="327">
        <f t="shared" si="2"/>
        <v>2136131.9800214297</v>
      </c>
    </row>
    <row r="197" spans="1:4" x14ac:dyDescent="0.25">
      <c r="A197" s="111">
        <f>Données!A197</f>
        <v>5724</v>
      </c>
      <c r="B197" s="119" t="str">
        <f>Données!B197</f>
        <v>Nyon</v>
      </c>
      <c r="C197" s="326">
        <f>Données!C197</f>
        <v>23732</v>
      </c>
      <c r="D197" s="327">
        <f t="shared" si="2"/>
        <v>23106054.762930065</v>
      </c>
    </row>
    <row r="198" spans="1:4" x14ac:dyDescent="0.25">
      <c r="A198" s="111">
        <f>Données!A198</f>
        <v>5725</v>
      </c>
      <c r="B198" s="119" t="str">
        <f>Données!B198</f>
        <v>Prangins</v>
      </c>
      <c r="C198" s="326">
        <f>Données!C198</f>
        <v>4243</v>
      </c>
      <c r="D198" s="327">
        <f t="shared" si="2"/>
        <v>4131088.4189748978</v>
      </c>
    </row>
    <row r="199" spans="1:4" x14ac:dyDescent="0.25">
      <c r="A199" s="111">
        <f>Données!A199</f>
        <v>5726</v>
      </c>
      <c r="B199" s="119" t="str">
        <f>Données!B199</f>
        <v>La Rippe</v>
      </c>
      <c r="C199" s="326">
        <f>Données!C199</f>
        <v>1218</v>
      </c>
      <c r="D199" s="327">
        <f t="shared" si="2"/>
        <v>1185874.5449708756</v>
      </c>
    </row>
    <row r="200" spans="1:4" x14ac:dyDescent="0.25">
      <c r="A200" s="111">
        <f>Données!A200</f>
        <v>5727</v>
      </c>
      <c r="B200" s="119" t="str">
        <f>Données!B200</f>
        <v>Saint-Cergue</v>
      </c>
      <c r="C200" s="326">
        <f>Données!C200</f>
        <v>3057</v>
      </c>
      <c r="D200" s="327">
        <f t="shared" ref="D200:D263" si="3">$D$4/$C$308*C200</f>
        <v>2976369.8554810896</v>
      </c>
    </row>
    <row r="201" spans="1:4" x14ac:dyDescent="0.25">
      <c r="A201" s="111">
        <f>Données!A201</f>
        <v>5728</v>
      </c>
      <c r="B201" s="119" t="str">
        <f>Données!B201</f>
        <v>Signy-Avenex</v>
      </c>
      <c r="C201" s="326">
        <f>Données!C201</f>
        <v>586</v>
      </c>
      <c r="D201" s="327">
        <f t="shared" si="3"/>
        <v>570543.91079879564</v>
      </c>
    </row>
    <row r="202" spans="1:4" x14ac:dyDescent="0.25">
      <c r="A202" s="111">
        <f>Données!A202</f>
        <v>5729</v>
      </c>
      <c r="B202" s="119" t="str">
        <f>Données!B202</f>
        <v>Tannay</v>
      </c>
      <c r="C202" s="326">
        <f>Données!C202</f>
        <v>1732</v>
      </c>
      <c r="D202" s="327">
        <f t="shared" si="3"/>
        <v>1686317.4974462697</v>
      </c>
    </row>
    <row r="203" spans="1:4" x14ac:dyDescent="0.25">
      <c r="A203" s="111">
        <f>Données!A203</f>
        <v>5730</v>
      </c>
      <c r="B203" s="119" t="str">
        <f>Données!B203</f>
        <v>Trélex</v>
      </c>
      <c r="C203" s="326">
        <f>Données!C203</f>
        <v>1427</v>
      </c>
      <c r="D203" s="327">
        <f t="shared" si="3"/>
        <v>1389362.0489929717</v>
      </c>
    </row>
    <row r="204" spans="1:4" x14ac:dyDescent="0.25">
      <c r="A204" s="111">
        <f>Données!A204</f>
        <v>5731</v>
      </c>
      <c r="B204" s="119" t="str">
        <f>Données!B204</f>
        <v>Le Vaud</v>
      </c>
      <c r="C204" s="326">
        <f>Données!C204</f>
        <v>1374</v>
      </c>
      <c r="D204" s="327">
        <f t="shared" si="3"/>
        <v>1337759.9546715789</v>
      </c>
    </row>
    <row r="205" spans="1:4" x14ac:dyDescent="0.25">
      <c r="A205" s="111">
        <f>Données!A205</f>
        <v>5732</v>
      </c>
      <c r="B205" s="119" t="str">
        <f>Données!B205</f>
        <v>Vich</v>
      </c>
      <c r="C205" s="326">
        <f>Données!C205</f>
        <v>1174</v>
      </c>
      <c r="D205" s="327">
        <f t="shared" si="3"/>
        <v>1143035.070439908</v>
      </c>
    </row>
    <row r="206" spans="1:4" x14ac:dyDescent="0.25">
      <c r="A206" s="111">
        <f>Données!A206</f>
        <v>5741</v>
      </c>
      <c r="B206" s="119" t="str">
        <f>Données!B206</f>
        <v>L'Abergement</v>
      </c>
      <c r="C206" s="326">
        <f>Données!C206</f>
        <v>267</v>
      </c>
      <c r="D206" s="327">
        <f t="shared" si="3"/>
        <v>259957.72044928063</v>
      </c>
    </row>
    <row r="207" spans="1:4" x14ac:dyDescent="0.25">
      <c r="A207" s="111">
        <f>Données!A207</f>
        <v>5742</v>
      </c>
      <c r="B207" s="119" t="str">
        <f>Données!B207</f>
        <v>Agiez</v>
      </c>
      <c r="C207" s="326">
        <f>Données!C207</f>
        <v>382</v>
      </c>
      <c r="D207" s="327">
        <f t="shared" si="3"/>
        <v>371924.5288824914</v>
      </c>
    </row>
    <row r="208" spans="1:4" x14ac:dyDescent="0.25">
      <c r="A208" s="111">
        <f>Données!A208</f>
        <v>5743</v>
      </c>
      <c r="B208" s="119" t="str">
        <f>Données!B208</f>
        <v>Arnex-sur-Orbe</v>
      </c>
      <c r="C208" s="326">
        <f>Données!C208</f>
        <v>698</v>
      </c>
      <c r="D208" s="327">
        <f t="shared" si="3"/>
        <v>679589.84596853133</v>
      </c>
    </row>
    <row r="209" spans="1:4" x14ac:dyDescent="0.25">
      <c r="A209" s="111">
        <f>Données!A209</f>
        <v>5744</v>
      </c>
      <c r="B209" s="119" t="str">
        <f>Données!B209</f>
        <v>Ballaigues</v>
      </c>
      <c r="C209" s="326">
        <f>Données!C209</f>
        <v>1217</v>
      </c>
      <c r="D209" s="327">
        <f t="shared" si="3"/>
        <v>1184900.9205497173</v>
      </c>
    </row>
    <row r="210" spans="1:4" x14ac:dyDescent="0.25">
      <c r="A210" s="111">
        <f>Données!A210</f>
        <v>5745</v>
      </c>
      <c r="B210" s="119" t="str">
        <f>Données!B210</f>
        <v>Baulmes</v>
      </c>
      <c r="C210" s="326">
        <f>Données!C210</f>
        <v>1189</v>
      </c>
      <c r="D210" s="327">
        <f t="shared" si="3"/>
        <v>1157639.4367572833</v>
      </c>
    </row>
    <row r="211" spans="1:4" x14ac:dyDescent="0.25">
      <c r="A211" s="111">
        <f>Données!A211</f>
        <v>5746</v>
      </c>
      <c r="B211" s="119" t="str">
        <f>Données!B211</f>
        <v>Bavois</v>
      </c>
      <c r="C211" s="326">
        <f>Données!C211</f>
        <v>1055</v>
      </c>
      <c r="D211" s="327">
        <f t="shared" si="3"/>
        <v>1027173.7643220639</v>
      </c>
    </row>
    <row r="212" spans="1:4" x14ac:dyDescent="0.25">
      <c r="A212" s="111">
        <f>Données!A212</f>
        <v>5747</v>
      </c>
      <c r="B212" s="119" t="str">
        <f>Données!B212</f>
        <v>Bofflens</v>
      </c>
      <c r="C212" s="326">
        <f>Données!C212</f>
        <v>201</v>
      </c>
      <c r="D212" s="327">
        <f t="shared" si="3"/>
        <v>195698.50865282922</v>
      </c>
    </row>
    <row r="213" spans="1:4" x14ac:dyDescent="0.25">
      <c r="A213" s="111">
        <f>Données!A213</f>
        <v>5748</v>
      </c>
      <c r="B213" s="119" t="str">
        <f>Données!B213</f>
        <v>Bretonnières</v>
      </c>
      <c r="C213" s="326">
        <f>Données!C213</f>
        <v>265</v>
      </c>
      <c r="D213" s="327">
        <f t="shared" si="3"/>
        <v>258010.4716069639</v>
      </c>
    </row>
    <row r="214" spans="1:4" x14ac:dyDescent="0.25">
      <c r="A214" s="111">
        <f>Données!A214</f>
        <v>5749</v>
      </c>
      <c r="B214" s="119" t="str">
        <f>Données!B214</f>
        <v>Chavornay</v>
      </c>
      <c r="C214" s="326">
        <f>Données!C214</f>
        <v>5374</v>
      </c>
      <c r="D214" s="327">
        <f t="shared" si="3"/>
        <v>5232257.6393049965</v>
      </c>
    </row>
    <row r="215" spans="1:4" x14ac:dyDescent="0.25">
      <c r="A215" s="111">
        <f>Données!A215</f>
        <v>5750</v>
      </c>
      <c r="B215" s="119" t="str">
        <f>Données!B215</f>
        <v>Les Clées</v>
      </c>
      <c r="C215" s="326">
        <f>Données!C215</f>
        <v>195</v>
      </c>
      <c r="D215" s="327">
        <f t="shared" si="3"/>
        <v>189856.76212587912</v>
      </c>
    </row>
    <row r="216" spans="1:4" x14ac:dyDescent="0.25">
      <c r="A216" s="111">
        <f>Données!A216</f>
        <v>5752</v>
      </c>
      <c r="B216" s="119" t="str">
        <f>Données!B216</f>
        <v>Croy</v>
      </c>
      <c r="C216" s="326">
        <f>Données!C216</f>
        <v>408</v>
      </c>
      <c r="D216" s="327">
        <f t="shared" si="3"/>
        <v>397238.76383260859</v>
      </c>
    </row>
    <row r="217" spans="1:4" x14ac:dyDescent="0.25">
      <c r="A217" s="111">
        <f>Données!A217</f>
        <v>5754</v>
      </c>
      <c r="B217" s="119" t="str">
        <f>Données!B217</f>
        <v>Juriens</v>
      </c>
      <c r="C217" s="326">
        <f>Données!C217</f>
        <v>345</v>
      </c>
      <c r="D217" s="327">
        <f t="shared" si="3"/>
        <v>335900.42529963225</v>
      </c>
    </row>
    <row r="218" spans="1:4" x14ac:dyDescent="0.25">
      <c r="A218" s="111">
        <f>Données!A218</f>
        <v>5755</v>
      </c>
      <c r="B218" s="119" t="str">
        <f>Données!B218</f>
        <v>Lignerolle</v>
      </c>
      <c r="C218" s="326">
        <f>Données!C218</f>
        <v>452</v>
      </c>
      <c r="D218" s="327">
        <f t="shared" si="3"/>
        <v>440078.23836357618</v>
      </c>
    </row>
    <row r="219" spans="1:4" x14ac:dyDescent="0.25">
      <c r="A219" s="111">
        <f>Données!A219</f>
        <v>5756</v>
      </c>
      <c r="B219" s="119" t="str">
        <f>Données!B219</f>
        <v>Montcherand</v>
      </c>
      <c r="C219" s="326">
        <f>Données!C219</f>
        <v>494</v>
      </c>
      <c r="D219" s="327">
        <f t="shared" si="3"/>
        <v>480970.46405222709</v>
      </c>
    </row>
    <row r="220" spans="1:4" x14ac:dyDescent="0.25">
      <c r="A220" s="111">
        <f>Données!A220</f>
        <v>5757</v>
      </c>
      <c r="B220" s="119" t="str">
        <f>Données!B220</f>
        <v>Orbe</v>
      </c>
      <c r="C220" s="326">
        <f>Données!C220</f>
        <v>8008</v>
      </c>
      <c r="D220" s="327">
        <f t="shared" si="3"/>
        <v>7796784.3646361018</v>
      </c>
    </row>
    <row r="221" spans="1:4" x14ac:dyDescent="0.25">
      <c r="A221" s="111">
        <f>Données!A221</f>
        <v>5758</v>
      </c>
      <c r="B221" s="119" t="str">
        <f>Données!B221</f>
        <v>La Praz</v>
      </c>
      <c r="C221" s="326">
        <f>Données!C221</f>
        <v>214</v>
      </c>
      <c r="D221" s="327">
        <f t="shared" si="3"/>
        <v>208355.62612788784</v>
      </c>
    </row>
    <row r="222" spans="1:4" x14ac:dyDescent="0.25">
      <c r="A222" s="111">
        <f>Données!A222</f>
        <v>5759</v>
      </c>
      <c r="B222" s="119" t="str">
        <f>Données!B222</f>
        <v>Premier</v>
      </c>
      <c r="C222" s="326">
        <f>Données!C222</f>
        <v>233</v>
      </c>
      <c r="D222" s="327">
        <f t="shared" si="3"/>
        <v>226854.49012989656</v>
      </c>
    </row>
    <row r="223" spans="1:4" x14ac:dyDescent="0.25">
      <c r="A223" s="111">
        <f>Données!A223</f>
        <v>5760</v>
      </c>
      <c r="B223" s="119" t="str">
        <f>Données!B223</f>
        <v>Rances</v>
      </c>
      <c r="C223" s="326">
        <f>Données!C223</f>
        <v>513</v>
      </c>
      <c r="D223" s="327">
        <f t="shared" si="3"/>
        <v>499469.32805423578</v>
      </c>
    </row>
    <row r="224" spans="1:4" x14ac:dyDescent="0.25">
      <c r="A224" s="111">
        <f>Données!A224</f>
        <v>5761</v>
      </c>
      <c r="B224" s="119" t="str">
        <f>Données!B224</f>
        <v>Romainmôtier-Envy</v>
      </c>
      <c r="C224" s="326">
        <f>Données!C224</f>
        <v>579</v>
      </c>
      <c r="D224" s="327">
        <f t="shared" si="3"/>
        <v>563728.53985068714</v>
      </c>
    </row>
    <row r="225" spans="1:4" x14ac:dyDescent="0.25">
      <c r="A225" s="111">
        <f>Données!A225</f>
        <v>5762</v>
      </c>
      <c r="B225" s="119" t="str">
        <f>Données!B225</f>
        <v>Sergey</v>
      </c>
      <c r="C225" s="326">
        <f>Données!C225</f>
        <v>165</v>
      </c>
      <c r="D225" s="327">
        <f t="shared" si="3"/>
        <v>160648.02949112846</v>
      </c>
    </row>
    <row r="226" spans="1:4" x14ac:dyDescent="0.25">
      <c r="A226" s="111">
        <f>Données!A226</f>
        <v>5763</v>
      </c>
      <c r="B226" s="119" t="str">
        <f>Données!B226</f>
        <v>Valeyres-sous-Rances</v>
      </c>
      <c r="C226" s="326">
        <f>Données!C226</f>
        <v>573</v>
      </c>
      <c r="D226" s="327">
        <f t="shared" si="3"/>
        <v>557886.7933237371</v>
      </c>
    </row>
    <row r="227" spans="1:4" x14ac:dyDescent="0.25">
      <c r="A227" s="111">
        <f>Données!A227</f>
        <v>5764</v>
      </c>
      <c r="B227" s="119" t="str">
        <f>Données!B227</f>
        <v>Vallorbe</v>
      </c>
      <c r="C227" s="326">
        <f>Données!C227</f>
        <v>4434</v>
      </c>
      <c r="D227" s="327">
        <f t="shared" si="3"/>
        <v>4317050.6834161431</v>
      </c>
    </row>
    <row r="228" spans="1:4" x14ac:dyDescent="0.25">
      <c r="A228" s="111">
        <f>Données!A228</f>
        <v>5765</v>
      </c>
      <c r="B228" s="119" t="str">
        <f>Données!B228</f>
        <v>Vaulion</v>
      </c>
      <c r="C228" s="326">
        <f>Données!C228</f>
        <v>500</v>
      </c>
      <c r="D228" s="327">
        <f t="shared" si="3"/>
        <v>486812.21057917719</v>
      </c>
    </row>
    <row r="229" spans="1:4" x14ac:dyDescent="0.25">
      <c r="A229" s="111">
        <f>Données!A229</f>
        <v>5766</v>
      </c>
      <c r="B229" s="119" t="str">
        <f>Données!B229</f>
        <v>Vuiteboeuf</v>
      </c>
      <c r="C229" s="326">
        <f>Données!C229</f>
        <v>616</v>
      </c>
      <c r="D229" s="327">
        <f t="shared" si="3"/>
        <v>599752.6434335463</v>
      </c>
    </row>
    <row r="230" spans="1:4" x14ac:dyDescent="0.25">
      <c r="A230" s="111">
        <f>Données!A230</f>
        <v>5785</v>
      </c>
      <c r="B230" s="119" t="str">
        <f>Données!B230</f>
        <v>Corcelles-le-Jorat</v>
      </c>
      <c r="C230" s="326">
        <f>Données!C230</f>
        <v>495</v>
      </c>
      <c r="D230" s="327">
        <f t="shared" si="3"/>
        <v>481944.08847338543</v>
      </c>
    </row>
    <row r="231" spans="1:4" x14ac:dyDescent="0.25">
      <c r="A231" s="111">
        <f>Données!A231</f>
        <v>5790</v>
      </c>
      <c r="B231" s="119" t="str">
        <f>Données!B231</f>
        <v>Maracon</v>
      </c>
      <c r="C231" s="326">
        <f>Données!C231</f>
        <v>565</v>
      </c>
      <c r="D231" s="327">
        <f t="shared" si="3"/>
        <v>550097.79795447027</v>
      </c>
    </row>
    <row r="232" spans="1:4" x14ac:dyDescent="0.25">
      <c r="A232" s="111">
        <f>Données!A232</f>
        <v>5792</v>
      </c>
      <c r="B232" s="119" t="str">
        <f>Données!B232</f>
        <v>Montpreveyres</v>
      </c>
      <c r="C232" s="326">
        <f>Données!C232</f>
        <v>670</v>
      </c>
      <c r="D232" s="327">
        <f t="shared" si="3"/>
        <v>652328.36217609746</v>
      </c>
    </row>
    <row r="233" spans="1:4" x14ac:dyDescent="0.25">
      <c r="A233" s="111">
        <f>Données!A233</f>
        <v>5798</v>
      </c>
      <c r="B233" s="119" t="str">
        <f>Données!B233</f>
        <v>Ropraz</v>
      </c>
      <c r="C233" s="326">
        <f>Données!C233</f>
        <v>535</v>
      </c>
      <c r="D233" s="327">
        <f t="shared" si="3"/>
        <v>520889.06531971961</v>
      </c>
    </row>
    <row r="234" spans="1:4" x14ac:dyDescent="0.25">
      <c r="A234" s="111">
        <f>Données!A234</f>
        <v>5799</v>
      </c>
      <c r="B234" s="119" t="str">
        <f>Données!B234</f>
        <v>Servion</v>
      </c>
      <c r="C234" s="326">
        <f>Données!C234</f>
        <v>2241</v>
      </c>
      <c r="D234" s="327">
        <f t="shared" si="3"/>
        <v>2181892.3278158722</v>
      </c>
    </row>
    <row r="235" spans="1:4" x14ac:dyDescent="0.25">
      <c r="A235" s="111">
        <f>Données!A235</f>
        <v>5803</v>
      </c>
      <c r="B235" s="119" t="str">
        <f>Données!B235</f>
        <v>Vulliens</v>
      </c>
      <c r="C235" s="326">
        <f>Données!C235</f>
        <v>630</v>
      </c>
      <c r="D235" s="327">
        <f t="shared" si="3"/>
        <v>613383.38532976329</v>
      </c>
    </row>
    <row r="236" spans="1:4" x14ac:dyDescent="0.25">
      <c r="A236" s="111">
        <f>Données!A236</f>
        <v>5804</v>
      </c>
      <c r="B236" s="119" t="str">
        <f>Données!B236</f>
        <v>Jorat-Menthue</v>
      </c>
      <c r="C236" s="326">
        <f>Données!C236</f>
        <v>1564</v>
      </c>
      <c r="D236" s="327">
        <f t="shared" si="3"/>
        <v>1522748.5946916663</v>
      </c>
    </row>
    <row r="237" spans="1:4" x14ac:dyDescent="0.25">
      <c r="A237" s="111">
        <f>Données!A237</f>
        <v>5805</v>
      </c>
      <c r="B237" s="119" t="str">
        <f>Données!B237</f>
        <v>Oron</v>
      </c>
      <c r="C237" s="326">
        <f>Données!C237</f>
        <v>6451</v>
      </c>
      <c r="D237" s="327">
        <f t="shared" si="3"/>
        <v>6280851.1408925438</v>
      </c>
    </row>
    <row r="238" spans="1:4" x14ac:dyDescent="0.25">
      <c r="A238" s="111">
        <f>Données!A238</f>
        <v>5806</v>
      </c>
      <c r="B238" s="119" t="str">
        <f>Données!B238</f>
        <v>Jorat-Mézières</v>
      </c>
      <c r="C238" s="326">
        <f>Données!C238</f>
        <v>3209</v>
      </c>
      <c r="D238" s="327">
        <f t="shared" si="3"/>
        <v>3124360.7674971591</v>
      </c>
    </row>
    <row r="239" spans="1:4" x14ac:dyDescent="0.25">
      <c r="A239" s="111">
        <f>Données!A239</f>
        <v>5812</v>
      </c>
      <c r="B239" s="119" t="str">
        <f>Données!B239</f>
        <v>Champtauroz</v>
      </c>
      <c r="C239" s="326">
        <f>Données!C239</f>
        <v>184</v>
      </c>
      <c r="D239" s="327">
        <f t="shared" si="3"/>
        <v>179146.89349313721</v>
      </c>
    </row>
    <row r="240" spans="1:4" x14ac:dyDescent="0.25">
      <c r="A240" s="111">
        <f>Données!A240</f>
        <v>5813</v>
      </c>
      <c r="B240" s="119" t="str">
        <f>Données!B240</f>
        <v>Chevroux</v>
      </c>
      <c r="C240" s="326">
        <f>Données!C240</f>
        <v>487</v>
      </c>
      <c r="D240" s="327">
        <f t="shared" si="3"/>
        <v>474155.0931041186</v>
      </c>
    </row>
    <row r="241" spans="1:4" x14ac:dyDescent="0.25">
      <c r="A241" s="111">
        <f>Données!A241</f>
        <v>5816</v>
      </c>
      <c r="B241" s="119" t="str">
        <f>Données!B241</f>
        <v>Corcelles-près-Payerne</v>
      </c>
      <c r="C241" s="326">
        <f>Données!C241</f>
        <v>3129</v>
      </c>
      <c r="D241" s="327">
        <f t="shared" si="3"/>
        <v>3046470.813804491</v>
      </c>
    </row>
    <row r="242" spans="1:4" x14ac:dyDescent="0.25">
      <c r="A242" s="111">
        <f>Données!A242</f>
        <v>5817</v>
      </c>
      <c r="B242" s="119" t="str">
        <f>Données!B242</f>
        <v>Grandcour</v>
      </c>
      <c r="C242" s="326">
        <f>Données!C242</f>
        <v>970</v>
      </c>
      <c r="D242" s="327">
        <f t="shared" si="3"/>
        <v>944415.68852360372</v>
      </c>
    </row>
    <row r="243" spans="1:4" x14ac:dyDescent="0.25">
      <c r="A243" s="111">
        <f>Données!A243</f>
        <v>5819</v>
      </c>
      <c r="B243" s="119" t="str">
        <f>Données!B243</f>
        <v>Henniez</v>
      </c>
      <c r="C243" s="326">
        <f>Données!C243</f>
        <v>464</v>
      </c>
      <c r="D243" s="327">
        <f t="shared" si="3"/>
        <v>451761.73141747643</v>
      </c>
    </row>
    <row r="244" spans="1:4" x14ac:dyDescent="0.25">
      <c r="A244" s="111">
        <f>Données!A244</f>
        <v>5821</v>
      </c>
      <c r="B244" s="119" t="str">
        <f>Données!B244</f>
        <v>Missy</v>
      </c>
      <c r="C244" s="326">
        <f>Données!C244</f>
        <v>379</v>
      </c>
      <c r="D244" s="327">
        <f t="shared" si="3"/>
        <v>369003.65561901632</v>
      </c>
    </row>
    <row r="245" spans="1:4" x14ac:dyDescent="0.25">
      <c r="A245" s="111">
        <f>Données!A245</f>
        <v>5822</v>
      </c>
      <c r="B245" s="119" t="str">
        <f>Données!B245</f>
        <v>Payerne</v>
      </c>
      <c r="C245" s="326">
        <f>Données!C245</f>
        <v>10972</v>
      </c>
      <c r="D245" s="327">
        <f t="shared" si="3"/>
        <v>10682607.148949465</v>
      </c>
    </row>
    <row r="246" spans="1:4" x14ac:dyDescent="0.25">
      <c r="A246" s="111">
        <f>Données!A246</f>
        <v>5827</v>
      </c>
      <c r="B246" s="119" t="str">
        <f>Données!B246</f>
        <v>Trey</v>
      </c>
      <c r="C246" s="326">
        <f>Données!C246</f>
        <v>305</v>
      </c>
      <c r="D246" s="327">
        <f t="shared" si="3"/>
        <v>296955.44845329807</v>
      </c>
    </row>
    <row r="247" spans="1:4" x14ac:dyDescent="0.25">
      <c r="A247" s="111">
        <f>Données!A247</f>
        <v>5828</v>
      </c>
      <c r="B247" s="119" t="str">
        <f>Données!B247</f>
        <v>Treytorrens (Payerne)</v>
      </c>
      <c r="C247" s="326">
        <f>Données!C247</f>
        <v>108</v>
      </c>
      <c r="D247" s="327">
        <f t="shared" si="3"/>
        <v>105151.43748510227</v>
      </c>
    </row>
    <row r="248" spans="1:4" x14ac:dyDescent="0.25">
      <c r="A248" s="111">
        <f>Données!A248</f>
        <v>5830</v>
      </c>
      <c r="B248" s="119" t="str">
        <f>Données!B248</f>
        <v>Villarzel</v>
      </c>
      <c r="C248" s="326">
        <f>Données!C248</f>
        <v>522</v>
      </c>
      <c r="D248" s="327">
        <f t="shared" si="3"/>
        <v>508231.94784466096</v>
      </c>
    </row>
    <row r="249" spans="1:4" x14ac:dyDescent="0.25">
      <c r="A249" s="111">
        <f>Données!A249</f>
        <v>5831</v>
      </c>
      <c r="B249" s="119" t="str">
        <f>Données!B249</f>
        <v>Valbroye</v>
      </c>
      <c r="C249" s="326">
        <f>Données!C249</f>
        <v>3416</v>
      </c>
      <c r="D249" s="327">
        <f t="shared" si="3"/>
        <v>3325901.0226769387</v>
      </c>
    </row>
    <row r="250" spans="1:4" x14ac:dyDescent="0.25">
      <c r="A250" s="111">
        <f>Données!A250</f>
        <v>5841</v>
      </c>
      <c r="B250" s="119" t="str">
        <f>Données!B250</f>
        <v>Château-d'Oex</v>
      </c>
      <c r="C250" s="326">
        <f>Données!C250</f>
        <v>3689</v>
      </c>
      <c r="D250" s="327">
        <f t="shared" si="3"/>
        <v>3591700.4896531692</v>
      </c>
    </row>
    <row r="251" spans="1:4" x14ac:dyDescent="0.25">
      <c r="A251" s="111">
        <f>Données!A251</f>
        <v>5842</v>
      </c>
      <c r="B251" s="119" t="str">
        <f>Données!B251</f>
        <v>Rossinière</v>
      </c>
      <c r="C251" s="326">
        <f>Données!C251</f>
        <v>504</v>
      </c>
      <c r="D251" s="327">
        <f t="shared" si="3"/>
        <v>490706.70826381061</v>
      </c>
    </row>
    <row r="252" spans="1:4" x14ac:dyDescent="0.25">
      <c r="A252" s="111">
        <f>Données!A252</f>
        <v>5843</v>
      </c>
      <c r="B252" s="119" t="str">
        <f>Données!B252</f>
        <v>Rougemont</v>
      </c>
      <c r="C252" s="326">
        <f>Données!C252</f>
        <v>805</v>
      </c>
      <c r="D252" s="327">
        <f t="shared" si="3"/>
        <v>783767.65903247532</v>
      </c>
    </row>
    <row r="253" spans="1:4" x14ac:dyDescent="0.25">
      <c r="A253" s="111">
        <f>Données!A253</f>
        <v>5851</v>
      </c>
      <c r="B253" s="119" t="str">
        <f>Données!B253</f>
        <v>Allaman</v>
      </c>
      <c r="C253" s="326">
        <f>Données!C253</f>
        <v>412</v>
      </c>
      <c r="D253" s="327">
        <f t="shared" si="3"/>
        <v>401133.261517242</v>
      </c>
    </row>
    <row r="254" spans="1:4" x14ac:dyDescent="0.25">
      <c r="A254" s="111">
        <f>Données!A254</f>
        <v>5852</v>
      </c>
      <c r="B254" s="119" t="str">
        <f>Données!B254</f>
        <v>Bursinel</v>
      </c>
      <c r="C254" s="326">
        <f>Données!C254</f>
        <v>535</v>
      </c>
      <c r="D254" s="327">
        <f t="shared" si="3"/>
        <v>520889.06531971961</v>
      </c>
    </row>
    <row r="255" spans="1:4" x14ac:dyDescent="0.25">
      <c r="A255" s="111">
        <f>Données!A255</f>
        <v>5853</v>
      </c>
      <c r="B255" s="119" t="str">
        <f>Données!B255</f>
        <v>Bursins</v>
      </c>
      <c r="C255" s="326">
        <f>Données!C255</f>
        <v>831</v>
      </c>
      <c r="D255" s="327">
        <f t="shared" si="3"/>
        <v>809081.8939825925</v>
      </c>
    </row>
    <row r="256" spans="1:4" x14ac:dyDescent="0.25">
      <c r="A256" s="111">
        <f>Données!A256</f>
        <v>5854</v>
      </c>
      <c r="B256" s="119" t="str">
        <f>Données!B256</f>
        <v>Burtigny</v>
      </c>
      <c r="C256" s="326">
        <f>Données!C256</f>
        <v>406</v>
      </c>
      <c r="D256" s="327">
        <f t="shared" si="3"/>
        <v>395291.51499029191</v>
      </c>
    </row>
    <row r="257" spans="1:4" x14ac:dyDescent="0.25">
      <c r="A257" s="111">
        <f>Données!A257</f>
        <v>5855</v>
      </c>
      <c r="B257" s="119" t="str">
        <f>Données!B257</f>
        <v>Dully</v>
      </c>
      <c r="C257" s="326">
        <f>Données!C257</f>
        <v>637</v>
      </c>
      <c r="D257" s="327">
        <f t="shared" si="3"/>
        <v>620198.75627787178</v>
      </c>
    </row>
    <row r="258" spans="1:4" x14ac:dyDescent="0.25">
      <c r="A258" s="111">
        <f>Données!A258</f>
        <v>5856</v>
      </c>
      <c r="B258" s="119" t="str">
        <f>Données!B258</f>
        <v>Essertines-sur-Rolle</v>
      </c>
      <c r="C258" s="326">
        <f>Données!C258</f>
        <v>770</v>
      </c>
      <c r="D258" s="327">
        <f t="shared" si="3"/>
        <v>749690.80429193284</v>
      </c>
    </row>
    <row r="259" spans="1:4" x14ac:dyDescent="0.25">
      <c r="A259" s="111">
        <f>Données!A259</f>
        <v>5857</v>
      </c>
      <c r="B259" s="119" t="str">
        <f>Données!B259</f>
        <v>Gilly</v>
      </c>
      <c r="C259" s="326">
        <f>Données!C259</f>
        <v>1429</v>
      </c>
      <c r="D259" s="327">
        <f t="shared" si="3"/>
        <v>1391309.2978352883</v>
      </c>
    </row>
    <row r="260" spans="1:4" x14ac:dyDescent="0.25">
      <c r="A260" s="111">
        <f>Données!A260</f>
        <v>5858</v>
      </c>
      <c r="B260" s="119" t="str">
        <f>Données!B260</f>
        <v>Luins</v>
      </c>
      <c r="C260" s="326">
        <f>Données!C260</f>
        <v>640</v>
      </c>
      <c r="D260" s="327">
        <f t="shared" si="3"/>
        <v>623119.6295413468</v>
      </c>
    </row>
    <row r="261" spans="1:4" x14ac:dyDescent="0.25">
      <c r="A261" s="111">
        <f>Données!A261</f>
        <v>5859</v>
      </c>
      <c r="B261" s="119" t="str">
        <f>Données!B261</f>
        <v>Mont-sur-Rolle</v>
      </c>
      <c r="C261" s="326">
        <f>Données!C261</f>
        <v>2759</v>
      </c>
      <c r="D261" s="327">
        <f t="shared" si="3"/>
        <v>2686229.7779758996</v>
      </c>
    </row>
    <row r="262" spans="1:4" x14ac:dyDescent="0.25">
      <c r="A262" s="111">
        <f>Données!A262</f>
        <v>5860</v>
      </c>
      <c r="B262" s="119" t="str">
        <f>Données!B262</f>
        <v>Perroy</v>
      </c>
      <c r="C262" s="326">
        <f>Données!C262</f>
        <v>1573</v>
      </c>
      <c r="D262" s="327">
        <f t="shared" si="3"/>
        <v>1531511.2144820914</v>
      </c>
    </row>
    <row r="263" spans="1:4" x14ac:dyDescent="0.25">
      <c r="A263" s="111">
        <f>Données!A263</f>
        <v>5861</v>
      </c>
      <c r="B263" s="119" t="str">
        <f>Données!B263</f>
        <v>Rolle</v>
      </c>
      <c r="C263" s="326">
        <f>Données!C263</f>
        <v>6604</v>
      </c>
      <c r="D263" s="327">
        <f t="shared" si="3"/>
        <v>6429815.6773297722</v>
      </c>
    </row>
    <row r="264" spans="1:4" x14ac:dyDescent="0.25">
      <c r="A264" s="111">
        <f>Données!A264</f>
        <v>5862</v>
      </c>
      <c r="B264" s="119" t="str">
        <f>Données!B264</f>
        <v>Tartegnin</v>
      </c>
      <c r="C264" s="326">
        <f>Données!C264</f>
        <v>246</v>
      </c>
      <c r="D264" s="327">
        <f t="shared" ref="D264:D307" si="4">$D$4/$C$308*C264</f>
        <v>239511.60760495518</v>
      </c>
    </row>
    <row r="265" spans="1:4" x14ac:dyDescent="0.25">
      <c r="A265" s="111">
        <f>Données!A265</f>
        <v>5863</v>
      </c>
      <c r="B265" s="119" t="str">
        <f>Données!B265</f>
        <v>Vinzel</v>
      </c>
      <c r="C265" s="326">
        <f>Données!C265</f>
        <v>385</v>
      </c>
      <c r="D265" s="327">
        <f t="shared" si="4"/>
        <v>374845.40214596642</v>
      </c>
    </row>
    <row r="266" spans="1:4" x14ac:dyDescent="0.25">
      <c r="A266" s="111">
        <f>Données!A266</f>
        <v>5871</v>
      </c>
      <c r="B266" s="119" t="str">
        <f>Données!B266</f>
        <v>L'Abbaye</v>
      </c>
      <c r="C266" s="326">
        <f>Données!C266</f>
        <v>1599</v>
      </c>
      <c r="D266" s="327">
        <f t="shared" si="4"/>
        <v>1556825.4494322087</v>
      </c>
    </row>
    <row r="267" spans="1:4" x14ac:dyDescent="0.25">
      <c r="A267" s="111">
        <f>Données!A267</f>
        <v>5872</v>
      </c>
      <c r="B267" s="119" t="str">
        <f>Données!B267</f>
        <v>Le Chenit</v>
      </c>
      <c r="C267" s="326">
        <f>Données!C267</f>
        <v>4792</v>
      </c>
      <c r="D267" s="327">
        <f t="shared" si="4"/>
        <v>4665608.2261908343</v>
      </c>
    </row>
    <row r="268" spans="1:4" x14ac:dyDescent="0.25">
      <c r="A268" s="111">
        <f>Données!A268</f>
        <v>5873</v>
      </c>
      <c r="B268" s="119" t="str">
        <f>Données!B268</f>
        <v>Le Lieu</v>
      </c>
      <c r="C268" s="326">
        <f>Données!C268</f>
        <v>926</v>
      </c>
      <c r="D268" s="327">
        <f t="shared" si="4"/>
        <v>901576.21399263619</v>
      </c>
    </row>
    <row r="269" spans="1:4" x14ac:dyDescent="0.25">
      <c r="A269" s="111">
        <f>Données!A269</f>
        <v>5882</v>
      </c>
      <c r="B269" s="119" t="str">
        <f>Données!B269</f>
        <v>Chardonne</v>
      </c>
      <c r="C269" s="326">
        <f>Données!C269</f>
        <v>3384</v>
      </c>
      <c r="D269" s="327">
        <f t="shared" si="4"/>
        <v>3294745.0411998713</v>
      </c>
    </row>
    <row r="270" spans="1:4" x14ac:dyDescent="0.25">
      <c r="A270" s="111">
        <f>Données!A270</f>
        <v>5883</v>
      </c>
      <c r="B270" s="119" t="str">
        <f>Données!B270</f>
        <v>Corseaux</v>
      </c>
      <c r="C270" s="326">
        <f>Données!C270</f>
        <v>2326</v>
      </c>
      <c r="D270" s="327">
        <f t="shared" si="4"/>
        <v>2264650.4036143324</v>
      </c>
    </row>
    <row r="271" spans="1:4" x14ac:dyDescent="0.25">
      <c r="A271" s="111">
        <f>Données!A271</f>
        <v>5884</v>
      </c>
      <c r="B271" s="119" t="str">
        <f>Données!B271</f>
        <v>Corsier-sur-Vevey</v>
      </c>
      <c r="C271" s="326">
        <f>Données!C271</f>
        <v>3458</v>
      </c>
      <c r="D271" s="327">
        <f t="shared" si="4"/>
        <v>3366793.2483655894</v>
      </c>
    </row>
    <row r="272" spans="1:4" x14ac:dyDescent="0.25">
      <c r="A272" s="111">
        <f>Données!A272</f>
        <v>5885</v>
      </c>
      <c r="B272" s="119" t="str">
        <f>Données!B272</f>
        <v>Jongny</v>
      </c>
      <c r="C272" s="326">
        <f>Données!C272</f>
        <v>1917</v>
      </c>
      <c r="D272" s="327">
        <f t="shared" si="4"/>
        <v>1866438.0153605654</v>
      </c>
    </row>
    <row r="273" spans="1:4" x14ac:dyDescent="0.25">
      <c r="A273" s="111">
        <f>Données!A273</f>
        <v>5886</v>
      </c>
      <c r="B273" s="119" t="str">
        <f>Données!B273</f>
        <v>Montreux</v>
      </c>
      <c r="C273" s="326">
        <f>Données!C273</f>
        <v>27166</v>
      </c>
      <c r="D273" s="327">
        <f t="shared" si="4"/>
        <v>26449481.025187854</v>
      </c>
    </row>
    <row r="274" spans="1:4" x14ac:dyDescent="0.25">
      <c r="A274" s="111">
        <f>Données!A274</f>
        <v>5889</v>
      </c>
      <c r="B274" s="119" t="str">
        <f>Données!B274</f>
        <v>La Tour-de-Peilz</v>
      </c>
      <c r="C274" s="326">
        <f>Données!C274</f>
        <v>13053</v>
      </c>
      <c r="D274" s="327">
        <f t="shared" si="4"/>
        <v>12708719.56938</v>
      </c>
    </row>
    <row r="275" spans="1:4" x14ac:dyDescent="0.25">
      <c r="A275" s="111">
        <f>Données!A275</f>
        <v>5890</v>
      </c>
      <c r="B275" s="119" t="str">
        <f>Données!B275</f>
        <v>Vevey</v>
      </c>
      <c r="C275" s="326">
        <f>Données!C275</f>
        <v>20179</v>
      </c>
      <c r="D275" s="327">
        <f t="shared" si="4"/>
        <v>19646767.194554433</v>
      </c>
    </row>
    <row r="276" spans="1:4" x14ac:dyDescent="0.25">
      <c r="A276" s="111">
        <f>Données!A276</f>
        <v>5891</v>
      </c>
      <c r="B276" s="119" t="str">
        <f>Données!B276</f>
        <v>Veytaux</v>
      </c>
      <c r="C276" s="326">
        <f>Données!C276</f>
        <v>1008</v>
      </c>
      <c r="D276" s="327">
        <f t="shared" si="4"/>
        <v>981413.41652762122</v>
      </c>
    </row>
    <row r="277" spans="1:4" x14ac:dyDescent="0.25">
      <c r="A277" s="111">
        <f>Données!A277</f>
        <v>5892</v>
      </c>
      <c r="B277" s="119" t="str">
        <f>Données!B277</f>
        <v>Blonay-Saint-Légier</v>
      </c>
      <c r="C277" s="326">
        <f>Données!C277</f>
        <v>12597</v>
      </c>
      <c r="D277" s="327">
        <f t="shared" si="4"/>
        <v>12264746.83333179</v>
      </c>
    </row>
    <row r="278" spans="1:4" x14ac:dyDescent="0.25">
      <c r="A278" s="111">
        <f>Données!A278</f>
        <v>5902</v>
      </c>
      <c r="B278" s="119" t="str">
        <f>Données!B278</f>
        <v>Belmont-sur-Yverdon</v>
      </c>
      <c r="C278" s="326">
        <f>Données!C278</f>
        <v>457</v>
      </c>
      <c r="D278" s="327">
        <f t="shared" si="4"/>
        <v>444946.36046936794</v>
      </c>
    </row>
    <row r="279" spans="1:4" x14ac:dyDescent="0.25">
      <c r="A279" s="111">
        <f>Données!A279</f>
        <v>5903</v>
      </c>
      <c r="B279" s="119" t="str">
        <f>Données!B279</f>
        <v>Bioley-Magnoux</v>
      </c>
      <c r="C279" s="326">
        <f>Données!C279</f>
        <v>252</v>
      </c>
      <c r="D279" s="327">
        <f t="shared" si="4"/>
        <v>245353.3541319053</v>
      </c>
    </row>
    <row r="280" spans="1:4" x14ac:dyDescent="0.25">
      <c r="A280" s="111">
        <f>Données!A280</f>
        <v>5904</v>
      </c>
      <c r="B280" s="119" t="str">
        <f>Données!B280</f>
        <v>Chamblon</v>
      </c>
      <c r="C280" s="326">
        <f>Données!C280</f>
        <v>558</v>
      </c>
      <c r="D280" s="327">
        <f t="shared" si="4"/>
        <v>543282.42700636177</v>
      </c>
    </row>
    <row r="281" spans="1:4" x14ac:dyDescent="0.25">
      <c r="A281" s="111">
        <f>Données!A281</f>
        <v>5905</v>
      </c>
      <c r="B281" s="119" t="str">
        <f>Données!B281</f>
        <v>Champvent</v>
      </c>
      <c r="C281" s="326">
        <f>Données!C281</f>
        <v>692</v>
      </c>
      <c r="D281" s="327">
        <f t="shared" si="4"/>
        <v>673748.09944158117</v>
      </c>
    </row>
    <row r="282" spans="1:4" x14ac:dyDescent="0.25">
      <c r="A282" s="111">
        <f>Données!A282</f>
        <v>5907</v>
      </c>
      <c r="B282" s="119" t="str">
        <f>Données!B282</f>
        <v>Chavannes-le-Chêne</v>
      </c>
      <c r="C282" s="326">
        <f>Données!C282</f>
        <v>329</v>
      </c>
      <c r="D282" s="327">
        <f t="shared" si="4"/>
        <v>320322.43456109858</v>
      </c>
    </row>
    <row r="283" spans="1:4" x14ac:dyDescent="0.25">
      <c r="A283" s="111">
        <f>Données!A283</f>
        <v>5908</v>
      </c>
      <c r="B283" s="119" t="str">
        <f>Données!B283</f>
        <v>Chêne-Pâquier</v>
      </c>
      <c r="C283" s="326">
        <f>Données!C283</f>
        <v>172</v>
      </c>
      <c r="D283" s="327">
        <f t="shared" si="4"/>
        <v>167463.40043923695</v>
      </c>
    </row>
    <row r="284" spans="1:4" x14ac:dyDescent="0.25">
      <c r="A284" s="111">
        <f>Données!A284</f>
        <v>5909</v>
      </c>
      <c r="B284" s="119" t="str">
        <f>Données!B284</f>
        <v>Cheseaux-Noréaz</v>
      </c>
      <c r="C284" s="326">
        <f>Données!C284</f>
        <v>745</v>
      </c>
      <c r="D284" s="327">
        <f t="shared" si="4"/>
        <v>725350.193762974</v>
      </c>
    </row>
    <row r="285" spans="1:4" x14ac:dyDescent="0.25">
      <c r="A285" s="111">
        <f>Données!A285</f>
        <v>5910</v>
      </c>
      <c r="B285" s="119" t="str">
        <f>Données!B285</f>
        <v>Cronay</v>
      </c>
      <c r="C285" s="326">
        <f>Données!C285</f>
        <v>432</v>
      </c>
      <c r="D285" s="327">
        <f t="shared" si="4"/>
        <v>420605.74994040909</v>
      </c>
    </row>
    <row r="286" spans="1:4" x14ac:dyDescent="0.25">
      <c r="A286" s="111">
        <f>Données!A286</f>
        <v>5911</v>
      </c>
      <c r="B286" s="119" t="str">
        <f>Données!B286</f>
        <v>Cuarny</v>
      </c>
      <c r="C286" s="326">
        <f>Données!C286</f>
        <v>244</v>
      </c>
      <c r="D286" s="327">
        <f t="shared" si="4"/>
        <v>237564.35876263847</v>
      </c>
    </row>
    <row r="287" spans="1:4" x14ac:dyDescent="0.25">
      <c r="A287" s="111">
        <f>Données!A287</f>
        <v>5912</v>
      </c>
      <c r="B287" s="119" t="str">
        <f>Données!B287</f>
        <v>Démoret</v>
      </c>
      <c r="C287" s="326">
        <f>Données!C287</f>
        <v>181</v>
      </c>
      <c r="D287" s="327">
        <f t="shared" si="4"/>
        <v>176226.02022966213</v>
      </c>
    </row>
    <row r="288" spans="1:4" x14ac:dyDescent="0.25">
      <c r="A288" s="111">
        <f>Données!A288</f>
        <v>5913</v>
      </c>
      <c r="B288" s="119" t="str">
        <f>Données!B288</f>
        <v>Donneloye</v>
      </c>
      <c r="C288" s="326">
        <f>Données!C288</f>
        <v>905</v>
      </c>
      <c r="D288" s="327">
        <f t="shared" si="4"/>
        <v>881130.1011483107</v>
      </c>
    </row>
    <row r="289" spans="1:4" x14ac:dyDescent="0.25">
      <c r="A289" s="111">
        <f>Données!A289</f>
        <v>5914</v>
      </c>
      <c r="B289" s="119" t="str">
        <f>Données!B289</f>
        <v>Ependes</v>
      </c>
      <c r="C289" s="326">
        <f>Données!C289</f>
        <v>376</v>
      </c>
      <c r="D289" s="327">
        <f t="shared" si="4"/>
        <v>366082.78235554125</v>
      </c>
    </row>
    <row r="290" spans="1:4" x14ac:dyDescent="0.25">
      <c r="A290" s="111">
        <f>Données!A290</f>
        <v>5919</v>
      </c>
      <c r="B290" s="119" t="str">
        <f>Données!B290</f>
        <v>Mathod</v>
      </c>
      <c r="C290" s="326">
        <f>Données!C290</f>
        <v>740</v>
      </c>
      <c r="D290" s="327">
        <f t="shared" si="4"/>
        <v>720482.07165718218</v>
      </c>
    </row>
    <row r="291" spans="1:4" x14ac:dyDescent="0.25">
      <c r="A291" s="111">
        <f>Données!A291</f>
        <v>5921</v>
      </c>
      <c r="B291" s="119" t="str">
        <f>Données!B291</f>
        <v>Molondin</v>
      </c>
      <c r="C291" s="326">
        <f>Données!C291</f>
        <v>260</v>
      </c>
      <c r="D291" s="327">
        <f t="shared" si="4"/>
        <v>253142.34950117214</v>
      </c>
    </row>
    <row r="292" spans="1:4" x14ac:dyDescent="0.25">
      <c r="A292" s="111">
        <f>Données!A292</f>
        <v>5922</v>
      </c>
      <c r="B292" s="119" t="str">
        <f>Données!B292</f>
        <v>Montagny-près-Yverdon</v>
      </c>
      <c r="C292" s="326">
        <f>Données!C292</f>
        <v>768</v>
      </c>
      <c r="D292" s="327">
        <f t="shared" si="4"/>
        <v>747743.55544961616</v>
      </c>
    </row>
    <row r="293" spans="1:4" x14ac:dyDescent="0.25">
      <c r="A293" s="111">
        <f>Données!A293</f>
        <v>5923</v>
      </c>
      <c r="B293" s="119" t="str">
        <f>Données!B293</f>
        <v>Oppens</v>
      </c>
      <c r="C293" s="326">
        <f>Données!C293</f>
        <v>201</v>
      </c>
      <c r="D293" s="327">
        <f t="shared" si="4"/>
        <v>195698.50865282922</v>
      </c>
    </row>
    <row r="294" spans="1:4" x14ac:dyDescent="0.25">
      <c r="A294" s="111">
        <f>Données!A294</f>
        <v>5924</v>
      </c>
      <c r="B294" s="119" t="str">
        <f>Données!B294</f>
        <v>Orges</v>
      </c>
      <c r="C294" s="326">
        <f>Données!C294</f>
        <v>416</v>
      </c>
      <c r="D294" s="327">
        <f t="shared" si="4"/>
        <v>405027.75920187542</v>
      </c>
    </row>
    <row r="295" spans="1:4" x14ac:dyDescent="0.25">
      <c r="A295" s="111">
        <f>Données!A295</f>
        <v>5925</v>
      </c>
      <c r="B295" s="119" t="str">
        <f>Données!B295</f>
        <v>Orzens</v>
      </c>
      <c r="C295" s="326">
        <f>Données!C295</f>
        <v>216</v>
      </c>
      <c r="D295" s="327">
        <f t="shared" si="4"/>
        <v>210302.87497020455</v>
      </c>
    </row>
    <row r="296" spans="1:4" x14ac:dyDescent="0.25">
      <c r="A296" s="111">
        <f>Données!A296</f>
        <v>5926</v>
      </c>
      <c r="B296" s="119" t="str">
        <f>Données!B296</f>
        <v>Pomy</v>
      </c>
      <c r="C296" s="326">
        <f>Données!C296</f>
        <v>904</v>
      </c>
      <c r="D296" s="327">
        <f t="shared" si="4"/>
        <v>880156.47672715236</v>
      </c>
    </row>
    <row r="297" spans="1:4" x14ac:dyDescent="0.25">
      <c r="A297" s="111">
        <f>Données!A297</f>
        <v>5928</v>
      </c>
      <c r="B297" s="119" t="str">
        <f>Données!B297</f>
        <v>Rovray</v>
      </c>
      <c r="C297" s="326">
        <f>Données!C297</f>
        <v>198</v>
      </c>
      <c r="D297" s="327">
        <f t="shared" si="4"/>
        <v>192777.63538935417</v>
      </c>
    </row>
    <row r="298" spans="1:4" x14ac:dyDescent="0.25">
      <c r="A298" s="111">
        <f>Données!A298</f>
        <v>5929</v>
      </c>
      <c r="B298" s="119" t="str">
        <f>Données!B298</f>
        <v>Suchy</v>
      </c>
      <c r="C298" s="326">
        <f>Données!C298</f>
        <v>672</v>
      </c>
      <c r="D298" s="327">
        <f t="shared" si="4"/>
        <v>654275.61101841414</v>
      </c>
    </row>
    <row r="299" spans="1:4" x14ac:dyDescent="0.25">
      <c r="A299" s="111">
        <f>Données!A299</f>
        <v>5930</v>
      </c>
      <c r="B299" s="119" t="str">
        <f>Données!B299</f>
        <v>Suscévaz</v>
      </c>
      <c r="C299" s="326">
        <f>Données!C299</f>
        <v>263</v>
      </c>
      <c r="D299" s="327">
        <f t="shared" si="4"/>
        <v>256063.22276464722</v>
      </c>
    </row>
    <row r="300" spans="1:4" x14ac:dyDescent="0.25">
      <c r="A300" s="111">
        <f>Données!A300</f>
        <v>5931</v>
      </c>
      <c r="B300" s="119" t="str">
        <f>Données!B300</f>
        <v>Treycovagnes</v>
      </c>
      <c r="C300" s="326">
        <f>Données!C300</f>
        <v>518</v>
      </c>
      <c r="D300" s="327">
        <f t="shared" si="4"/>
        <v>504337.4501600276</v>
      </c>
    </row>
    <row r="301" spans="1:4" x14ac:dyDescent="0.25">
      <c r="A301" s="111">
        <f>Données!A301</f>
        <v>5932</v>
      </c>
      <c r="B301" s="119" t="str">
        <f>Données!B301</f>
        <v>Ursins</v>
      </c>
      <c r="C301" s="326">
        <f>Données!C301</f>
        <v>227</v>
      </c>
      <c r="D301" s="327">
        <f t="shared" si="4"/>
        <v>221012.74360294646</v>
      </c>
    </row>
    <row r="302" spans="1:4" x14ac:dyDescent="0.25">
      <c r="A302" s="111">
        <f>Données!A302</f>
        <v>5933</v>
      </c>
      <c r="B302" s="119" t="str">
        <f>Données!B302</f>
        <v>Valeyres-sous-Montagny</v>
      </c>
      <c r="C302" s="326">
        <f>Données!C302</f>
        <v>717</v>
      </c>
      <c r="D302" s="327">
        <f t="shared" si="4"/>
        <v>698088.70997054013</v>
      </c>
    </row>
    <row r="303" spans="1:4" x14ac:dyDescent="0.25">
      <c r="A303" s="111">
        <f>Données!A303</f>
        <v>5934</v>
      </c>
      <c r="B303" s="119" t="str">
        <f>Données!B303</f>
        <v>Valeyres-sous-Ursins</v>
      </c>
      <c r="C303" s="326">
        <f>Données!C303</f>
        <v>225</v>
      </c>
      <c r="D303" s="327">
        <f t="shared" si="4"/>
        <v>219065.49476062972</v>
      </c>
    </row>
    <row r="304" spans="1:4" x14ac:dyDescent="0.25">
      <c r="A304" s="111">
        <f>Données!A304</f>
        <v>5935</v>
      </c>
      <c r="B304" s="119" t="str">
        <f>Données!B304</f>
        <v>Villars-Epeney</v>
      </c>
      <c r="C304" s="326">
        <f>Données!C304</f>
        <v>109</v>
      </c>
      <c r="D304" s="327">
        <f t="shared" si="4"/>
        <v>106125.06190626063</v>
      </c>
    </row>
    <row r="305" spans="1:4" x14ac:dyDescent="0.25">
      <c r="A305" s="111">
        <f>Données!A305</f>
        <v>5937</v>
      </c>
      <c r="B305" s="119" t="str">
        <f>Données!B305</f>
        <v>Vugelles-La Mothe</v>
      </c>
      <c r="C305" s="326">
        <f>Données!C305</f>
        <v>142</v>
      </c>
      <c r="D305" s="327">
        <f t="shared" si="4"/>
        <v>138254.66780448632</v>
      </c>
    </row>
    <row r="306" spans="1:4" x14ac:dyDescent="0.25">
      <c r="A306" s="111">
        <f>Données!A306</f>
        <v>5938</v>
      </c>
      <c r="B306" s="119" t="str">
        <f>Données!B306</f>
        <v>Yverdon-les-Bains</v>
      </c>
      <c r="C306" s="326">
        <f>Données!C306</f>
        <v>30600</v>
      </c>
      <c r="D306" s="327">
        <f t="shared" si="4"/>
        <v>29792907.287445646</v>
      </c>
    </row>
    <row r="307" spans="1:4" x14ac:dyDescent="0.25">
      <c r="A307" s="113">
        <f>Données!A307</f>
        <v>5939</v>
      </c>
      <c r="B307" s="120" t="str">
        <f>Données!B307</f>
        <v>Yvonand</v>
      </c>
      <c r="C307" s="328">
        <f>Données!C307</f>
        <v>3536</v>
      </c>
      <c r="D307" s="329">
        <f t="shared" si="4"/>
        <v>3442735.9532159409</v>
      </c>
    </row>
    <row r="308" spans="1:4" x14ac:dyDescent="0.25">
      <c r="A308" s="2"/>
      <c r="C308" s="315">
        <f>SUM(C8:C307)</f>
        <v>864226</v>
      </c>
      <c r="D308" s="329">
        <f>SUM(D8:D307)</f>
        <v>841431539.00000095</v>
      </c>
    </row>
  </sheetData>
  <sheetProtection sheet="1" objects="1" scenarios="1"/>
  <mergeCells count="2">
    <mergeCell ref="A4:C5"/>
    <mergeCell ref="D4:D5"/>
  </mergeCells>
  <hyperlinks>
    <hyperlink ref="E1" location="'Charges des villes'!A1" display="← Précédent" xr:uid="{F025B369-4AD9-4764-B2C3-5679FA2C3B31}"/>
    <hyperlink ref="F1" location="'Table des matières'!A1" display="Table des matières" xr:uid="{A9BB53F1-1BDF-4BDF-BF24-B3BB569F45F0}"/>
    <hyperlink ref="G1" location="Police!A1" display="Suivant →" xr:uid="{D05B2FB3-DD74-42EB-806E-815737F646A6}"/>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F2EB1-B737-4F1F-8C6C-E600836F3A98}">
  <sheetPr codeName="Feuil12">
    <tabColor rgb="FFFFE6FF"/>
    <pageSetUpPr autoPageBreaks="0"/>
  </sheetPr>
  <dimension ref="A1:V311"/>
  <sheetViews>
    <sheetView zoomScale="90" zoomScaleNormal="90" workbookViewId="0">
      <pane ySplit="7" topLeftCell="A8" activePane="bottomLeft" state="frozen"/>
      <selection pane="bottomLeft"/>
    </sheetView>
  </sheetViews>
  <sheetFormatPr baseColWidth="10" defaultRowHeight="15" x14ac:dyDescent="0.25"/>
  <cols>
    <col min="1" max="1" width="7.140625" style="1" customWidth="1"/>
    <col min="2" max="2" width="23.28515625" style="1" bestFit="1" customWidth="1"/>
    <col min="3" max="3" width="12.85546875" style="1" customWidth="1"/>
    <col min="4" max="11" width="11.42578125" style="4" customWidth="1"/>
    <col min="12" max="12" width="10.7109375" style="1" bestFit="1" customWidth="1"/>
    <col min="13" max="13" width="11.85546875" style="1" customWidth="1"/>
    <col min="14" max="14" width="16" style="1" customWidth="1"/>
    <col min="15" max="15" width="14.28515625" style="1" bestFit="1" customWidth="1"/>
    <col min="16" max="16" width="15.7109375" style="1" customWidth="1"/>
    <col min="17" max="17" width="15.5703125" style="1" bestFit="1" customWidth="1"/>
    <col min="18" max="18" width="16.140625" style="1" bestFit="1" customWidth="1"/>
    <col min="19" max="19" width="21.42578125" style="1" bestFit="1" customWidth="1"/>
    <col min="20" max="20" width="22" style="1" bestFit="1" customWidth="1"/>
    <col min="21" max="21" width="15.5703125" style="1" bestFit="1" customWidth="1"/>
    <col min="22" max="22" width="11" style="1" bestFit="1" customWidth="1"/>
    <col min="23" max="23" width="11.42578125" style="1"/>
    <col min="24" max="25" width="14.7109375" style="1" customWidth="1"/>
    <col min="26" max="16384" width="11.42578125" style="1"/>
  </cols>
  <sheetData>
    <row r="1" spans="1:21" ht="26.25" x14ac:dyDescent="0.4">
      <c r="A1" s="10" t="s">
        <v>33</v>
      </c>
      <c r="C1" s="96" t="s">
        <v>441</v>
      </c>
      <c r="D1" s="98" t="s">
        <v>442</v>
      </c>
      <c r="E1" s="99" t="s">
        <v>443</v>
      </c>
      <c r="F1" s="84"/>
      <c r="M1" s="11"/>
      <c r="O1" s="11"/>
      <c r="P1" s="11"/>
      <c r="Q1" s="15"/>
    </row>
    <row r="2" spans="1:21" ht="15" customHeight="1" x14ac:dyDescent="0.25">
      <c r="A2" s="47" t="str">
        <f>_xlfn.CONCAT(Paramètres!M5," ",Paramètres!N5)</f>
        <v>Décompte final 2025</v>
      </c>
      <c r="M2" s="11"/>
      <c r="N2" s="5"/>
      <c r="O2" s="11"/>
      <c r="P2" s="11"/>
      <c r="Q2" s="591" t="s">
        <v>405</v>
      </c>
      <c r="R2" s="592"/>
      <c r="S2" s="593"/>
      <c r="T2" s="216" t="s">
        <v>424</v>
      </c>
      <c r="U2" s="216" t="s">
        <v>21</v>
      </c>
    </row>
    <row r="3" spans="1:21" ht="15" customHeight="1" x14ac:dyDescent="0.25">
      <c r="A3" s="26"/>
      <c r="B3" s="26"/>
      <c r="C3" s="599" t="s">
        <v>50</v>
      </c>
      <c r="D3" s="600"/>
      <c r="E3" s="600"/>
      <c r="F3" s="600"/>
      <c r="G3" s="600"/>
      <c r="H3" s="600"/>
      <c r="I3" s="600"/>
      <c r="J3" s="600"/>
      <c r="K3" s="601"/>
      <c r="L3" s="13"/>
      <c r="M3" s="27"/>
      <c r="N3" s="64"/>
      <c r="O3" s="27"/>
      <c r="P3" s="27"/>
      <c r="Q3" s="596">
        <f>Paramètres!C17</f>
        <v>74269768</v>
      </c>
      <c r="R3" s="597"/>
      <c r="S3" s="598"/>
      <c r="T3" s="69">
        <f>T308</f>
        <v>0</v>
      </c>
      <c r="U3" s="12">
        <f>U308</f>
        <v>74269768.000000045</v>
      </c>
    </row>
    <row r="4" spans="1:21" ht="15" customHeight="1" x14ac:dyDescent="0.25">
      <c r="C4" s="213" t="s">
        <v>22</v>
      </c>
      <c r="D4" s="163">
        <f>Paramètres!N9</f>
        <v>0</v>
      </c>
      <c r="E4" s="163">
        <f>Paramètres!O9</f>
        <v>1000</v>
      </c>
      <c r="F4" s="163">
        <f>Paramètres!P9</f>
        <v>3000</v>
      </c>
      <c r="G4" s="163">
        <f>Paramètres!Q9</f>
        <v>5000</v>
      </c>
      <c r="H4" s="163">
        <f>Paramètres!R9</f>
        <v>12000</v>
      </c>
      <c r="I4" s="163">
        <f>Paramètres!S9</f>
        <v>15000</v>
      </c>
      <c r="J4" s="163">
        <f>Paramètres!T9</f>
        <v>30000</v>
      </c>
      <c r="K4" s="163">
        <f>Paramètres!U9</f>
        <v>45000</v>
      </c>
      <c r="L4" s="19"/>
      <c r="M4" s="27"/>
      <c r="N4" s="63"/>
      <c r="O4" s="27"/>
      <c r="P4" s="55"/>
      <c r="Q4" s="589">
        <f>Paramètres!C18</f>
        <v>0.35</v>
      </c>
      <c r="R4" s="594">
        <f>1-Paramètres!C18</f>
        <v>0.65</v>
      </c>
      <c r="S4" s="595"/>
      <c r="T4" s="63"/>
    </row>
    <row r="5" spans="1:21" ht="15" customHeight="1" x14ac:dyDescent="0.25">
      <c r="C5" s="214" t="s">
        <v>23</v>
      </c>
      <c r="D5" s="163">
        <f>Paramètres!N10</f>
        <v>1000</v>
      </c>
      <c r="E5" s="163">
        <f>Paramètres!O10</f>
        <v>3000</v>
      </c>
      <c r="F5" s="163">
        <f>Paramètres!P10</f>
        <v>5000</v>
      </c>
      <c r="G5" s="163">
        <f>Paramètres!Q10</f>
        <v>12000</v>
      </c>
      <c r="H5" s="163">
        <f>Paramètres!R10</f>
        <v>15000</v>
      </c>
      <c r="I5" s="163">
        <f>Paramètres!S10</f>
        <v>30000</v>
      </c>
      <c r="J5" s="163">
        <f>Paramètres!T10</f>
        <v>45000</v>
      </c>
      <c r="K5" s="163" t="str">
        <f>Paramètres!U10</f>
        <v/>
      </c>
      <c r="N5" s="63"/>
      <c r="Q5" s="590"/>
      <c r="R5" s="166">
        <f>(1-Paramètres!C18)*Paramètres!C19</f>
        <v>0.32500000000000001</v>
      </c>
      <c r="S5" s="166">
        <f>(1-Paramètres!C18)*Paramètres!C20</f>
        <v>0.32500000000000001</v>
      </c>
      <c r="T5" s="63"/>
    </row>
    <row r="6" spans="1:21" ht="15" customHeight="1" x14ac:dyDescent="0.25">
      <c r="C6" s="215" t="s">
        <v>36</v>
      </c>
      <c r="D6" s="164">
        <f>Paramètres!N13</f>
        <v>2</v>
      </c>
      <c r="E6" s="164">
        <f>Paramètres!O13</f>
        <v>3</v>
      </c>
      <c r="F6" s="164">
        <f>Paramètres!P13</f>
        <v>3.5</v>
      </c>
      <c r="G6" s="164">
        <f>Paramètres!Q13</f>
        <v>4</v>
      </c>
      <c r="H6" s="164">
        <f>Paramètres!R13</f>
        <v>5</v>
      </c>
      <c r="I6" s="164">
        <f>Paramètres!S13</f>
        <v>6</v>
      </c>
      <c r="J6" s="164">
        <f>Paramètres!T13</f>
        <v>7</v>
      </c>
      <c r="K6" s="165">
        <f>Paramètres!U13</f>
        <v>8</v>
      </c>
      <c r="N6" s="14"/>
      <c r="Q6" s="12">
        <f>Q4*$Q$3</f>
        <v>25994418.799999997</v>
      </c>
      <c r="R6" s="25">
        <f>R5*$Q$3</f>
        <v>24137674.600000001</v>
      </c>
      <c r="S6" s="25">
        <f>S5*$Q$3</f>
        <v>24137674.600000001</v>
      </c>
      <c r="T6" s="14"/>
    </row>
    <row r="7" spans="1:21" ht="37.5" customHeight="1" x14ac:dyDescent="0.25">
      <c r="A7" s="147" t="s">
        <v>0</v>
      </c>
      <c r="B7" s="147" t="s">
        <v>1</v>
      </c>
      <c r="C7" s="72" t="s">
        <v>29</v>
      </c>
      <c r="D7" s="581" t="s">
        <v>49</v>
      </c>
      <c r="E7" s="582"/>
      <c r="F7" s="582"/>
      <c r="G7" s="582"/>
      <c r="H7" s="582"/>
      <c r="I7" s="582"/>
      <c r="J7" s="582"/>
      <c r="K7" s="583"/>
      <c r="L7" s="216" t="s">
        <v>60</v>
      </c>
      <c r="M7" s="216" t="str">
        <f>_xlfn.CONCAT("Avec police en ",Paramètres!O5)</f>
        <v>Avec police en 2025</v>
      </c>
      <c r="N7" s="212" t="s">
        <v>518</v>
      </c>
      <c r="O7" s="216" t="s">
        <v>61</v>
      </c>
      <c r="P7" s="216" t="s">
        <v>514</v>
      </c>
      <c r="Q7" s="216" t="s">
        <v>62</v>
      </c>
      <c r="R7" s="216" t="s">
        <v>63</v>
      </c>
      <c r="S7" s="216" t="s">
        <v>64</v>
      </c>
      <c r="T7" s="212" t="s">
        <v>421</v>
      </c>
      <c r="U7" s="212" t="s">
        <v>21</v>
      </c>
    </row>
    <row r="8" spans="1:21" x14ac:dyDescent="0.25">
      <c r="A8" s="111">
        <f>Données!A8</f>
        <v>5401</v>
      </c>
      <c r="B8" s="112" t="str">
        <f>Données!B8</f>
        <v>Aigle</v>
      </c>
      <c r="C8" s="307">
        <f>Données!C8</f>
        <v>12081</v>
      </c>
      <c r="D8" s="298">
        <f t="shared" ref="D8" si="0">IF(C8&gt;$D$5,$D$5-$D$4,C8)</f>
        <v>1000</v>
      </c>
      <c r="E8" s="298">
        <f t="shared" ref="E8:J23" si="1">IF($C8&lt;E$4,0,IF($C8&gt;E$5,E$5-E$4,$C8-E$4))</f>
        <v>2000</v>
      </c>
      <c r="F8" s="299">
        <f t="shared" si="1"/>
        <v>2000</v>
      </c>
      <c r="G8" s="300">
        <f t="shared" si="1"/>
        <v>7000</v>
      </c>
      <c r="H8" s="298">
        <f t="shared" si="1"/>
        <v>81</v>
      </c>
      <c r="I8" s="299">
        <f t="shared" si="1"/>
        <v>0</v>
      </c>
      <c r="J8" s="299">
        <f>IF($C8&lt;J$4,0,IF($C8&gt;J$5,J$5-J$4,$C8-J$4))</f>
        <v>0</v>
      </c>
      <c r="K8" s="301">
        <f>IF($C8&lt;K$4,0,$C8-K$4)</f>
        <v>0</v>
      </c>
      <c r="L8" s="308">
        <f>SUMPRODUCT($D$6:$K$6,D8:K8)</f>
        <v>43405</v>
      </c>
      <c r="M8" s="326">
        <f>Données!AE8</f>
        <v>1</v>
      </c>
      <c r="N8" s="299">
        <v>1</v>
      </c>
      <c r="O8" s="303">
        <f t="shared" ref="O8:O71" si="2">IF(N8=0,C8,0)</f>
        <v>0</v>
      </c>
      <c r="P8" s="308">
        <f>IF(N8=0,L8,0)</f>
        <v>0</v>
      </c>
      <c r="Q8" s="309">
        <f t="shared" ref="Q8:Q71" si="3">$Q$6/$C$308*C8</f>
        <v>363375.52159134299</v>
      </c>
      <c r="R8" s="308">
        <f>$R$6/$O$308*O8</f>
        <v>0</v>
      </c>
      <c r="S8" s="302">
        <f>$S$6/$P$308*P8</f>
        <v>0</v>
      </c>
      <c r="T8" s="298">
        <f>IF(M8&gt;N8,-R8-S8,IF(M8&lt;N8,C8*$R$311+L8*$S$311,IF(M8=N8,0,"Erreur")))</f>
        <v>0</v>
      </c>
      <c r="U8" s="325">
        <f>SUM(Q8:T8)</f>
        <v>363375.52159134299</v>
      </c>
    </row>
    <row r="9" spans="1:21" x14ac:dyDescent="0.25">
      <c r="A9" s="111">
        <f>Données!A9</f>
        <v>5402</v>
      </c>
      <c r="B9" s="112" t="str">
        <f>Données!B9</f>
        <v>Bex</v>
      </c>
      <c r="C9" s="307">
        <f>Données!C9</f>
        <v>8923</v>
      </c>
      <c r="D9" s="303">
        <f t="shared" ref="D9:D72" si="4">IF(C9&gt;$D$5,$D$5-$D$4,C9)</f>
        <v>1000</v>
      </c>
      <c r="E9" s="303">
        <f t="shared" si="1"/>
        <v>2000</v>
      </c>
      <c r="F9" s="308">
        <f t="shared" si="1"/>
        <v>2000</v>
      </c>
      <c r="G9" s="302">
        <f t="shared" si="1"/>
        <v>3923</v>
      </c>
      <c r="H9" s="303">
        <f t="shared" si="1"/>
        <v>0</v>
      </c>
      <c r="I9" s="308">
        <f t="shared" si="1"/>
        <v>0</v>
      </c>
      <c r="J9" s="308">
        <f t="shared" si="1"/>
        <v>0</v>
      </c>
      <c r="K9" s="309">
        <f t="shared" ref="K9:K72" si="5">IF($C9&lt;K$4,0,$C9-K$4)</f>
        <v>0</v>
      </c>
      <c r="L9" s="308">
        <f t="shared" ref="L9:L72" si="6">SUMPRODUCT($D$6:$K$6,D9:K9)</f>
        <v>30692</v>
      </c>
      <c r="M9" s="326">
        <f>Données!AE9</f>
        <v>1</v>
      </c>
      <c r="N9" s="308">
        <v>1</v>
      </c>
      <c r="O9" s="303">
        <f t="shared" si="2"/>
        <v>0</v>
      </c>
      <c r="P9" s="308">
        <f t="shared" ref="P9:P72" si="7">IF(N9=0,L9,0)</f>
        <v>0</v>
      </c>
      <c r="Q9" s="309">
        <f t="shared" si="3"/>
        <v>268388.36016551225</v>
      </c>
      <c r="R9" s="308">
        <f t="shared" ref="R9:R71" si="8">$R$6/$O$308*O9</f>
        <v>0</v>
      </c>
      <c r="S9" s="302">
        <f t="shared" ref="S9:S71" si="9">$S$6/$P$308*P9</f>
        <v>0</v>
      </c>
      <c r="T9" s="303">
        <f t="shared" ref="T9:T71" si="10">IF(M9&gt;N9,-R9-S9,IF(M9&lt;N9,C9*$R$311+L9*$S$311,IF(M9=N9,0,"Erreur")))</f>
        <v>0</v>
      </c>
      <c r="U9" s="327">
        <f t="shared" ref="U9:U72" si="11">SUM(Q9:T9)</f>
        <v>268388.36016551225</v>
      </c>
    </row>
    <row r="10" spans="1:21" x14ac:dyDescent="0.25">
      <c r="A10" s="111">
        <f>Données!A10</f>
        <v>5403</v>
      </c>
      <c r="B10" s="112" t="str">
        <f>Données!B10</f>
        <v>Chessel</v>
      </c>
      <c r="C10" s="307">
        <f>Données!C10</f>
        <v>525</v>
      </c>
      <c r="D10" s="303">
        <f t="shared" si="4"/>
        <v>525</v>
      </c>
      <c r="E10" s="303">
        <f t="shared" si="1"/>
        <v>0</v>
      </c>
      <c r="F10" s="308">
        <f t="shared" si="1"/>
        <v>0</v>
      </c>
      <c r="G10" s="302">
        <f t="shared" si="1"/>
        <v>0</v>
      </c>
      <c r="H10" s="303">
        <f t="shared" si="1"/>
        <v>0</v>
      </c>
      <c r="I10" s="308">
        <f t="shared" si="1"/>
        <v>0</v>
      </c>
      <c r="J10" s="308">
        <f t="shared" si="1"/>
        <v>0</v>
      </c>
      <c r="K10" s="309">
        <f t="shared" si="5"/>
        <v>0</v>
      </c>
      <c r="L10" s="308">
        <f t="shared" si="6"/>
        <v>1050</v>
      </c>
      <c r="M10" s="326">
        <f>Données!AE10</f>
        <v>0</v>
      </c>
      <c r="N10" s="308">
        <v>0</v>
      </c>
      <c r="O10" s="303">
        <f t="shared" si="2"/>
        <v>525</v>
      </c>
      <c r="P10" s="308">
        <f t="shared" si="7"/>
        <v>1050</v>
      </c>
      <c r="Q10" s="309">
        <f t="shared" si="3"/>
        <v>15791.08921740378</v>
      </c>
      <c r="R10" s="308">
        <f t="shared" si="8"/>
        <v>34597.434639809115</v>
      </c>
      <c r="S10" s="302">
        <f t="shared" si="9"/>
        <v>25724.143795851585</v>
      </c>
      <c r="T10" s="303">
        <f t="shared" si="10"/>
        <v>0</v>
      </c>
      <c r="U10" s="327">
        <f t="shared" si="11"/>
        <v>76112.667653064476</v>
      </c>
    </row>
    <row r="11" spans="1:21" x14ac:dyDescent="0.25">
      <c r="A11" s="111">
        <f>Données!A11</f>
        <v>5404</v>
      </c>
      <c r="B11" s="112" t="str">
        <f>Données!B11</f>
        <v>Corbeyrier</v>
      </c>
      <c r="C11" s="307">
        <f>Données!C11</f>
        <v>456</v>
      </c>
      <c r="D11" s="303">
        <f t="shared" si="4"/>
        <v>456</v>
      </c>
      <c r="E11" s="303">
        <f t="shared" si="1"/>
        <v>0</v>
      </c>
      <c r="F11" s="308">
        <f t="shared" si="1"/>
        <v>0</v>
      </c>
      <c r="G11" s="302">
        <f t="shared" si="1"/>
        <v>0</v>
      </c>
      <c r="H11" s="303">
        <f t="shared" si="1"/>
        <v>0</v>
      </c>
      <c r="I11" s="308">
        <f t="shared" si="1"/>
        <v>0</v>
      </c>
      <c r="J11" s="308">
        <f t="shared" si="1"/>
        <v>0</v>
      </c>
      <c r="K11" s="309">
        <f t="shared" si="5"/>
        <v>0</v>
      </c>
      <c r="L11" s="308">
        <f t="shared" si="6"/>
        <v>912</v>
      </c>
      <c r="M11" s="326">
        <f>Données!AE11</f>
        <v>0</v>
      </c>
      <c r="N11" s="308">
        <v>0</v>
      </c>
      <c r="O11" s="303">
        <f t="shared" si="2"/>
        <v>456</v>
      </c>
      <c r="P11" s="308">
        <f t="shared" si="7"/>
        <v>912</v>
      </c>
      <c r="Q11" s="309">
        <f t="shared" si="3"/>
        <v>13715.688920259283</v>
      </c>
      <c r="R11" s="308">
        <f t="shared" si="8"/>
        <v>30050.34323000563</v>
      </c>
      <c r="S11" s="302">
        <f t="shared" si="9"/>
        <v>22343.256325539664</v>
      </c>
      <c r="T11" s="303">
        <f t="shared" si="10"/>
        <v>0</v>
      </c>
      <c r="U11" s="327">
        <f t="shared" si="11"/>
        <v>66109.288475804584</v>
      </c>
    </row>
    <row r="12" spans="1:21" x14ac:dyDescent="0.25">
      <c r="A12" s="111">
        <f>Données!A12</f>
        <v>5405</v>
      </c>
      <c r="B12" s="112" t="str">
        <f>Données!B12</f>
        <v>Gryon</v>
      </c>
      <c r="C12" s="307">
        <f>Données!C12</f>
        <v>1546</v>
      </c>
      <c r="D12" s="303">
        <f t="shared" si="4"/>
        <v>1000</v>
      </c>
      <c r="E12" s="303">
        <f t="shared" si="1"/>
        <v>546</v>
      </c>
      <c r="F12" s="308">
        <f t="shared" si="1"/>
        <v>0</v>
      </c>
      <c r="G12" s="302">
        <f t="shared" si="1"/>
        <v>0</v>
      </c>
      <c r="H12" s="303">
        <f t="shared" si="1"/>
        <v>0</v>
      </c>
      <c r="I12" s="308">
        <f t="shared" si="1"/>
        <v>0</v>
      </c>
      <c r="J12" s="308">
        <f t="shared" si="1"/>
        <v>0</v>
      </c>
      <c r="K12" s="309">
        <f t="shared" si="5"/>
        <v>0</v>
      </c>
      <c r="L12" s="308">
        <f t="shared" si="6"/>
        <v>3638</v>
      </c>
      <c r="M12" s="326">
        <f>Données!AE12</f>
        <v>0</v>
      </c>
      <c r="N12" s="308">
        <v>0</v>
      </c>
      <c r="O12" s="303">
        <f t="shared" si="2"/>
        <v>1546</v>
      </c>
      <c r="P12" s="308">
        <f t="shared" si="7"/>
        <v>3638</v>
      </c>
      <c r="Q12" s="309">
        <f t="shared" si="3"/>
        <v>46500.997962107132</v>
      </c>
      <c r="R12" s="308">
        <f t="shared" si="8"/>
        <v>101881.20752979978</v>
      </c>
      <c r="S12" s="302">
        <f t="shared" si="9"/>
        <v>89128.033456483885</v>
      </c>
      <c r="T12" s="303">
        <f t="shared" si="10"/>
        <v>0</v>
      </c>
      <c r="U12" s="327">
        <f t="shared" si="11"/>
        <v>237510.23894839079</v>
      </c>
    </row>
    <row r="13" spans="1:21" x14ac:dyDescent="0.25">
      <c r="A13" s="111">
        <f>Données!A13</f>
        <v>5406</v>
      </c>
      <c r="B13" s="112" t="str">
        <f>Données!B13</f>
        <v>Lavey-Morcles</v>
      </c>
      <c r="C13" s="307">
        <f>Données!C13</f>
        <v>1024</v>
      </c>
      <c r="D13" s="303">
        <f t="shared" si="4"/>
        <v>1000</v>
      </c>
      <c r="E13" s="303">
        <f t="shared" si="1"/>
        <v>24</v>
      </c>
      <c r="F13" s="308">
        <f t="shared" si="1"/>
        <v>0</v>
      </c>
      <c r="G13" s="302">
        <f t="shared" si="1"/>
        <v>0</v>
      </c>
      <c r="H13" s="303">
        <f t="shared" si="1"/>
        <v>0</v>
      </c>
      <c r="I13" s="308">
        <f t="shared" si="1"/>
        <v>0</v>
      </c>
      <c r="J13" s="308">
        <f t="shared" si="1"/>
        <v>0</v>
      </c>
      <c r="K13" s="309">
        <f t="shared" si="5"/>
        <v>0</v>
      </c>
      <c r="L13" s="308">
        <f t="shared" si="6"/>
        <v>2072</v>
      </c>
      <c r="M13" s="326">
        <f>Données!AE13</f>
        <v>0</v>
      </c>
      <c r="N13" s="308">
        <v>0</v>
      </c>
      <c r="O13" s="303">
        <f t="shared" si="2"/>
        <v>1024</v>
      </c>
      <c r="P13" s="308">
        <f t="shared" si="7"/>
        <v>2072</v>
      </c>
      <c r="Q13" s="309">
        <f t="shared" si="3"/>
        <v>30800.143540231373</v>
      </c>
      <c r="R13" s="308">
        <f t="shared" si="8"/>
        <v>67481.472516503869</v>
      </c>
      <c r="S13" s="302">
        <f t="shared" si="9"/>
        <v>50762.310423813797</v>
      </c>
      <c r="T13" s="303">
        <f t="shared" si="10"/>
        <v>0</v>
      </c>
      <c r="U13" s="327">
        <f t="shared" si="11"/>
        <v>149043.92648054904</v>
      </c>
    </row>
    <row r="14" spans="1:21" x14ac:dyDescent="0.25">
      <c r="A14" s="111">
        <f>Données!A14</f>
        <v>5407</v>
      </c>
      <c r="B14" s="112" t="str">
        <f>Données!B14</f>
        <v>Leysin</v>
      </c>
      <c r="C14" s="307">
        <f>Données!C14</f>
        <v>3722</v>
      </c>
      <c r="D14" s="303">
        <f t="shared" si="4"/>
        <v>1000</v>
      </c>
      <c r="E14" s="303">
        <f t="shared" si="1"/>
        <v>2000</v>
      </c>
      <c r="F14" s="308">
        <f t="shared" si="1"/>
        <v>722</v>
      </c>
      <c r="G14" s="302">
        <f t="shared" si="1"/>
        <v>0</v>
      </c>
      <c r="H14" s="303">
        <f t="shared" si="1"/>
        <v>0</v>
      </c>
      <c r="I14" s="308">
        <f t="shared" si="1"/>
        <v>0</v>
      </c>
      <c r="J14" s="308">
        <f t="shared" si="1"/>
        <v>0</v>
      </c>
      <c r="K14" s="309">
        <f t="shared" si="5"/>
        <v>0</v>
      </c>
      <c r="L14" s="308">
        <f t="shared" si="6"/>
        <v>10527</v>
      </c>
      <c r="M14" s="326">
        <f>Données!AE14</f>
        <v>0</v>
      </c>
      <c r="N14" s="308">
        <v>0</v>
      </c>
      <c r="O14" s="303">
        <f t="shared" si="2"/>
        <v>3722</v>
      </c>
      <c r="P14" s="308">
        <f t="shared" si="7"/>
        <v>10527</v>
      </c>
      <c r="Q14" s="309">
        <f t="shared" si="3"/>
        <v>111951.3029850988</v>
      </c>
      <c r="R14" s="308">
        <f t="shared" si="8"/>
        <v>245279.3366273705</v>
      </c>
      <c r="S14" s="302">
        <f t="shared" si="9"/>
        <v>257902.91594183777</v>
      </c>
      <c r="T14" s="303">
        <f t="shared" si="10"/>
        <v>0</v>
      </c>
      <c r="U14" s="327">
        <f t="shared" si="11"/>
        <v>615133.55555430707</v>
      </c>
    </row>
    <row r="15" spans="1:21" x14ac:dyDescent="0.25">
      <c r="A15" s="111">
        <f>Données!A15</f>
        <v>5408</v>
      </c>
      <c r="B15" s="112" t="str">
        <f>Données!B15</f>
        <v>Noville</v>
      </c>
      <c r="C15" s="307">
        <f>Données!C15</f>
        <v>1214</v>
      </c>
      <c r="D15" s="303">
        <f t="shared" si="4"/>
        <v>1000</v>
      </c>
      <c r="E15" s="303">
        <f t="shared" si="1"/>
        <v>214</v>
      </c>
      <c r="F15" s="308">
        <f t="shared" si="1"/>
        <v>0</v>
      </c>
      <c r="G15" s="302">
        <f t="shared" si="1"/>
        <v>0</v>
      </c>
      <c r="H15" s="303">
        <f t="shared" si="1"/>
        <v>0</v>
      </c>
      <c r="I15" s="308">
        <f t="shared" si="1"/>
        <v>0</v>
      </c>
      <c r="J15" s="308">
        <f t="shared" si="1"/>
        <v>0</v>
      </c>
      <c r="K15" s="309">
        <f t="shared" si="5"/>
        <v>0</v>
      </c>
      <c r="L15" s="308">
        <f t="shared" si="6"/>
        <v>2642</v>
      </c>
      <c r="M15" s="326">
        <f>Données!AE15</f>
        <v>0</v>
      </c>
      <c r="N15" s="308">
        <v>0</v>
      </c>
      <c r="O15" s="303">
        <f t="shared" si="2"/>
        <v>1214</v>
      </c>
      <c r="P15" s="308">
        <f t="shared" si="7"/>
        <v>2642</v>
      </c>
      <c r="Q15" s="309">
        <f t="shared" si="3"/>
        <v>36515.013923672741</v>
      </c>
      <c r="R15" s="308">
        <f t="shared" si="8"/>
        <v>80002.448862339545</v>
      </c>
      <c r="S15" s="302">
        <f t="shared" si="9"/>
        <v>64726.845627276089</v>
      </c>
      <c r="T15" s="303">
        <f t="shared" si="10"/>
        <v>0</v>
      </c>
      <c r="U15" s="327">
        <f t="shared" si="11"/>
        <v>181244.30841328838</v>
      </c>
    </row>
    <row r="16" spans="1:21" x14ac:dyDescent="0.25">
      <c r="A16" s="111">
        <f>Données!A16</f>
        <v>5409</v>
      </c>
      <c r="B16" s="112" t="str">
        <f>Données!B16</f>
        <v>Ollon</v>
      </c>
      <c r="C16" s="307">
        <f>Données!C16</f>
        <v>8302</v>
      </c>
      <c r="D16" s="303">
        <f t="shared" si="4"/>
        <v>1000</v>
      </c>
      <c r="E16" s="303">
        <f t="shared" si="1"/>
        <v>2000</v>
      </c>
      <c r="F16" s="308">
        <f t="shared" si="1"/>
        <v>2000</v>
      </c>
      <c r="G16" s="302">
        <f t="shared" si="1"/>
        <v>3302</v>
      </c>
      <c r="H16" s="303">
        <f t="shared" si="1"/>
        <v>0</v>
      </c>
      <c r="I16" s="308">
        <f t="shared" si="1"/>
        <v>0</v>
      </c>
      <c r="J16" s="308">
        <f t="shared" si="1"/>
        <v>0</v>
      </c>
      <c r="K16" s="309">
        <f t="shared" si="5"/>
        <v>0</v>
      </c>
      <c r="L16" s="308">
        <f t="shared" si="6"/>
        <v>28208</v>
      </c>
      <c r="M16" s="326">
        <f>Données!AE16</f>
        <v>1</v>
      </c>
      <c r="N16" s="308">
        <v>1</v>
      </c>
      <c r="O16" s="303">
        <f t="shared" si="2"/>
        <v>0</v>
      </c>
      <c r="P16" s="308">
        <f t="shared" si="7"/>
        <v>0</v>
      </c>
      <c r="Q16" s="309">
        <f t="shared" si="3"/>
        <v>249709.75749121179</v>
      </c>
      <c r="R16" s="308">
        <f t="shared" si="8"/>
        <v>0</v>
      </c>
      <c r="S16" s="302">
        <f t="shared" si="9"/>
        <v>0</v>
      </c>
      <c r="T16" s="303">
        <f t="shared" si="10"/>
        <v>0</v>
      </c>
      <c r="U16" s="327">
        <f t="shared" si="11"/>
        <v>249709.75749121179</v>
      </c>
    </row>
    <row r="17" spans="1:21" x14ac:dyDescent="0.25">
      <c r="A17" s="111">
        <f>Données!A17</f>
        <v>5410</v>
      </c>
      <c r="B17" s="112" t="str">
        <f>Données!B17</f>
        <v>Ormont-Dessous</v>
      </c>
      <c r="C17" s="307">
        <f>Données!C17</f>
        <v>1261</v>
      </c>
      <c r="D17" s="303">
        <f t="shared" si="4"/>
        <v>1000</v>
      </c>
      <c r="E17" s="303">
        <f t="shared" si="1"/>
        <v>261</v>
      </c>
      <c r="F17" s="308">
        <f t="shared" si="1"/>
        <v>0</v>
      </c>
      <c r="G17" s="302">
        <f t="shared" si="1"/>
        <v>0</v>
      </c>
      <c r="H17" s="303">
        <f t="shared" si="1"/>
        <v>0</v>
      </c>
      <c r="I17" s="308">
        <f t="shared" si="1"/>
        <v>0</v>
      </c>
      <c r="J17" s="308">
        <f t="shared" si="1"/>
        <v>0</v>
      </c>
      <c r="K17" s="309">
        <f t="shared" si="5"/>
        <v>0</v>
      </c>
      <c r="L17" s="308">
        <f t="shared" si="6"/>
        <v>2783</v>
      </c>
      <c r="M17" s="326">
        <f>Données!AE17</f>
        <v>0</v>
      </c>
      <c r="N17" s="308">
        <v>0</v>
      </c>
      <c r="O17" s="303">
        <f t="shared" si="2"/>
        <v>1261</v>
      </c>
      <c r="P17" s="308">
        <f t="shared" si="7"/>
        <v>2783</v>
      </c>
      <c r="Q17" s="309">
        <f t="shared" si="3"/>
        <v>37928.692386945077</v>
      </c>
      <c r="R17" s="308">
        <f t="shared" si="8"/>
        <v>83099.743011046274</v>
      </c>
      <c r="S17" s="302">
        <f t="shared" si="9"/>
        <v>68181.230651290447</v>
      </c>
      <c r="T17" s="303">
        <f t="shared" si="10"/>
        <v>0</v>
      </c>
      <c r="U17" s="327">
        <f t="shared" si="11"/>
        <v>189209.6660492818</v>
      </c>
    </row>
    <row r="18" spans="1:21" x14ac:dyDescent="0.25">
      <c r="A18" s="111">
        <f>Données!A18</f>
        <v>5411</v>
      </c>
      <c r="B18" s="112" t="str">
        <f>Données!B18</f>
        <v>Ormont-Dessus</v>
      </c>
      <c r="C18" s="307">
        <f>Données!C18</f>
        <v>1440</v>
      </c>
      <c r="D18" s="303">
        <f t="shared" si="4"/>
        <v>1000</v>
      </c>
      <c r="E18" s="303">
        <f t="shared" si="1"/>
        <v>440</v>
      </c>
      <c r="F18" s="308">
        <f t="shared" si="1"/>
        <v>0</v>
      </c>
      <c r="G18" s="302">
        <f t="shared" si="1"/>
        <v>0</v>
      </c>
      <c r="H18" s="303">
        <f t="shared" si="1"/>
        <v>0</v>
      </c>
      <c r="I18" s="308">
        <f t="shared" si="1"/>
        <v>0</v>
      </c>
      <c r="J18" s="308">
        <f t="shared" si="1"/>
        <v>0</v>
      </c>
      <c r="K18" s="309">
        <f t="shared" si="5"/>
        <v>0</v>
      </c>
      <c r="L18" s="308">
        <f t="shared" si="6"/>
        <v>3320</v>
      </c>
      <c r="M18" s="326">
        <f>Données!AE18</f>
        <v>0</v>
      </c>
      <c r="N18" s="308">
        <v>0</v>
      </c>
      <c r="O18" s="303">
        <f t="shared" si="2"/>
        <v>1440</v>
      </c>
      <c r="P18" s="308">
        <f t="shared" si="7"/>
        <v>3320</v>
      </c>
      <c r="Q18" s="309">
        <f t="shared" si="3"/>
        <v>43312.701853450366</v>
      </c>
      <c r="R18" s="308">
        <f t="shared" si="8"/>
        <v>94895.820726333564</v>
      </c>
      <c r="S18" s="302">
        <f t="shared" si="9"/>
        <v>81337.292764025973</v>
      </c>
      <c r="T18" s="303">
        <f t="shared" si="10"/>
        <v>0</v>
      </c>
      <c r="U18" s="327">
        <f t="shared" si="11"/>
        <v>219545.8153438099</v>
      </c>
    </row>
    <row r="19" spans="1:21" x14ac:dyDescent="0.25">
      <c r="A19" s="111">
        <f>Données!A19</f>
        <v>5412</v>
      </c>
      <c r="B19" s="112" t="str">
        <f>Données!B19</f>
        <v>Rennaz</v>
      </c>
      <c r="C19" s="307">
        <f>Données!C19</f>
        <v>935</v>
      </c>
      <c r="D19" s="303">
        <f t="shared" si="4"/>
        <v>935</v>
      </c>
      <c r="E19" s="303">
        <f t="shared" si="1"/>
        <v>0</v>
      </c>
      <c r="F19" s="308">
        <f t="shared" si="1"/>
        <v>0</v>
      </c>
      <c r="G19" s="302">
        <f t="shared" si="1"/>
        <v>0</v>
      </c>
      <c r="H19" s="303">
        <f t="shared" si="1"/>
        <v>0</v>
      </c>
      <c r="I19" s="308">
        <f t="shared" si="1"/>
        <v>0</v>
      </c>
      <c r="J19" s="308">
        <f t="shared" si="1"/>
        <v>0</v>
      </c>
      <c r="K19" s="309">
        <f t="shared" si="5"/>
        <v>0</v>
      </c>
      <c r="L19" s="308">
        <f t="shared" si="6"/>
        <v>1870</v>
      </c>
      <c r="M19" s="326">
        <f>Données!AE19</f>
        <v>0</v>
      </c>
      <c r="N19" s="308">
        <v>0</v>
      </c>
      <c r="O19" s="303">
        <f t="shared" si="2"/>
        <v>935</v>
      </c>
      <c r="P19" s="308">
        <f t="shared" si="7"/>
        <v>1870</v>
      </c>
      <c r="Q19" s="309">
        <f t="shared" si="3"/>
        <v>28123.177939566733</v>
      </c>
      <c r="R19" s="308">
        <f t="shared" si="8"/>
        <v>61616.383596612417</v>
      </c>
      <c r="S19" s="302">
        <f t="shared" si="9"/>
        <v>45813.475141183306</v>
      </c>
      <c r="T19" s="303">
        <f t="shared" si="10"/>
        <v>0</v>
      </c>
      <c r="U19" s="327">
        <f t="shared" si="11"/>
        <v>135553.03667736246</v>
      </c>
    </row>
    <row r="20" spans="1:21" x14ac:dyDescent="0.25">
      <c r="A20" s="111">
        <f>Données!A20</f>
        <v>5413</v>
      </c>
      <c r="B20" s="112" t="str">
        <f>Données!B20</f>
        <v>Roche</v>
      </c>
      <c r="C20" s="307">
        <f>Données!C20</f>
        <v>2035</v>
      </c>
      <c r="D20" s="303">
        <f t="shared" si="4"/>
        <v>1000</v>
      </c>
      <c r="E20" s="303">
        <f t="shared" si="1"/>
        <v>1035</v>
      </c>
      <c r="F20" s="308">
        <f t="shared" si="1"/>
        <v>0</v>
      </c>
      <c r="G20" s="302">
        <f t="shared" si="1"/>
        <v>0</v>
      </c>
      <c r="H20" s="303">
        <f t="shared" si="1"/>
        <v>0</v>
      </c>
      <c r="I20" s="308">
        <f t="shared" si="1"/>
        <v>0</v>
      </c>
      <c r="J20" s="308">
        <f t="shared" si="1"/>
        <v>0</v>
      </c>
      <c r="K20" s="309">
        <f t="shared" si="5"/>
        <v>0</v>
      </c>
      <c r="L20" s="308">
        <f t="shared" si="6"/>
        <v>5105</v>
      </c>
      <c r="M20" s="326">
        <f>Données!AE20</f>
        <v>0</v>
      </c>
      <c r="N20" s="308">
        <v>0</v>
      </c>
      <c r="O20" s="303">
        <f t="shared" si="2"/>
        <v>2035</v>
      </c>
      <c r="P20" s="308">
        <f t="shared" si="7"/>
        <v>5105</v>
      </c>
      <c r="Q20" s="309">
        <f t="shared" si="3"/>
        <v>61209.269633174648</v>
      </c>
      <c r="R20" s="308">
        <f t="shared" si="8"/>
        <v>134106.24665145055</v>
      </c>
      <c r="S20" s="302">
        <f t="shared" si="9"/>
        <v>125068.33721697367</v>
      </c>
      <c r="T20" s="303">
        <f t="shared" si="10"/>
        <v>0</v>
      </c>
      <c r="U20" s="327">
        <f t="shared" si="11"/>
        <v>320383.85350159887</v>
      </c>
    </row>
    <row r="21" spans="1:21" x14ac:dyDescent="0.25">
      <c r="A21" s="111">
        <f>Données!A21</f>
        <v>5414</v>
      </c>
      <c r="B21" s="112" t="str">
        <f>Données!B21</f>
        <v>Villeneuve</v>
      </c>
      <c r="C21" s="307">
        <f>Données!C21</f>
        <v>6073</v>
      </c>
      <c r="D21" s="303">
        <f t="shared" si="4"/>
        <v>1000</v>
      </c>
      <c r="E21" s="303">
        <f t="shared" si="1"/>
        <v>2000</v>
      </c>
      <c r="F21" s="308">
        <f t="shared" si="1"/>
        <v>2000</v>
      </c>
      <c r="G21" s="302">
        <f t="shared" si="1"/>
        <v>1073</v>
      </c>
      <c r="H21" s="303">
        <f t="shared" si="1"/>
        <v>0</v>
      </c>
      <c r="I21" s="308">
        <f t="shared" si="1"/>
        <v>0</v>
      </c>
      <c r="J21" s="308">
        <f t="shared" si="1"/>
        <v>0</v>
      </c>
      <c r="K21" s="309">
        <f t="shared" si="5"/>
        <v>0</v>
      </c>
      <c r="L21" s="308">
        <f t="shared" si="6"/>
        <v>19292</v>
      </c>
      <c r="M21" s="326">
        <f>Données!AE21</f>
        <v>0</v>
      </c>
      <c r="N21" s="308">
        <v>0</v>
      </c>
      <c r="O21" s="303">
        <f t="shared" si="2"/>
        <v>6073</v>
      </c>
      <c r="P21" s="308">
        <f t="shared" si="7"/>
        <v>19292</v>
      </c>
      <c r="Q21" s="309">
        <f t="shared" si="3"/>
        <v>182665.30441389172</v>
      </c>
      <c r="R21" s="308">
        <f t="shared" si="8"/>
        <v>400209.94393821096</v>
      </c>
      <c r="S21" s="302">
        <f t="shared" si="9"/>
        <v>472638.26867577981</v>
      </c>
      <c r="T21" s="303">
        <f t="shared" si="10"/>
        <v>0</v>
      </c>
      <c r="U21" s="327">
        <f t="shared" si="11"/>
        <v>1055513.5170278824</v>
      </c>
    </row>
    <row r="22" spans="1:21" x14ac:dyDescent="0.25">
      <c r="A22" s="111">
        <f>Données!A22</f>
        <v>5415</v>
      </c>
      <c r="B22" s="112" t="str">
        <f>Données!B22</f>
        <v>Yvorne</v>
      </c>
      <c r="C22" s="307">
        <f>Données!C22</f>
        <v>1119</v>
      </c>
      <c r="D22" s="303">
        <f t="shared" si="4"/>
        <v>1000</v>
      </c>
      <c r="E22" s="303">
        <f t="shared" si="1"/>
        <v>119</v>
      </c>
      <c r="F22" s="308">
        <f t="shared" si="1"/>
        <v>0</v>
      </c>
      <c r="G22" s="302">
        <f t="shared" si="1"/>
        <v>0</v>
      </c>
      <c r="H22" s="303">
        <f t="shared" si="1"/>
        <v>0</v>
      </c>
      <c r="I22" s="308">
        <f t="shared" si="1"/>
        <v>0</v>
      </c>
      <c r="J22" s="308">
        <f t="shared" si="1"/>
        <v>0</v>
      </c>
      <c r="K22" s="309">
        <f t="shared" si="5"/>
        <v>0</v>
      </c>
      <c r="L22" s="308">
        <f t="shared" si="6"/>
        <v>2357</v>
      </c>
      <c r="M22" s="326">
        <f>Données!AE22</f>
        <v>0</v>
      </c>
      <c r="N22" s="308">
        <v>0</v>
      </c>
      <c r="O22" s="303">
        <f t="shared" si="2"/>
        <v>1119</v>
      </c>
      <c r="P22" s="308">
        <f t="shared" si="7"/>
        <v>2357</v>
      </c>
      <c r="Q22" s="309">
        <f t="shared" si="3"/>
        <v>33657.578731952053</v>
      </c>
      <c r="R22" s="308">
        <f t="shared" si="8"/>
        <v>73741.960689421714</v>
      </c>
      <c r="S22" s="302">
        <f t="shared" si="9"/>
        <v>57744.578025544943</v>
      </c>
      <c r="T22" s="303">
        <f t="shared" si="10"/>
        <v>0</v>
      </c>
      <c r="U22" s="327">
        <f t="shared" si="11"/>
        <v>165144.11744691871</v>
      </c>
    </row>
    <row r="23" spans="1:21" x14ac:dyDescent="0.25">
      <c r="A23" s="111">
        <f>Données!A23</f>
        <v>5422</v>
      </c>
      <c r="B23" s="112" t="str">
        <f>Données!B23</f>
        <v>Aubonne</v>
      </c>
      <c r="C23" s="307">
        <f>Données!C23</f>
        <v>3896</v>
      </c>
      <c r="D23" s="303">
        <f t="shared" si="4"/>
        <v>1000</v>
      </c>
      <c r="E23" s="303">
        <f t="shared" si="1"/>
        <v>2000</v>
      </c>
      <c r="F23" s="308">
        <f t="shared" si="1"/>
        <v>896</v>
      </c>
      <c r="G23" s="302">
        <f t="shared" si="1"/>
        <v>0</v>
      </c>
      <c r="H23" s="303">
        <f t="shared" si="1"/>
        <v>0</v>
      </c>
      <c r="I23" s="308">
        <f t="shared" si="1"/>
        <v>0</v>
      </c>
      <c r="J23" s="308">
        <f t="shared" si="1"/>
        <v>0</v>
      </c>
      <c r="K23" s="309">
        <f t="shared" si="5"/>
        <v>0</v>
      </c>
      <c r="L23" s="308">
        <f t="shared" si="6"/>
        <v>11136</v>
      </c>
      <c r="M23" s="326">
        <f>Données!AE23</f>
        <v>0</v>
      </c>
      <c r="N23" s="308">
        <v>0</v>
      </c>
      <c r="O23" s="303">
        <f t="shared" si="2"/>
        <v>3896</v>
      </c>
      <c r="P23" s="308">
        <f t="shared" si="7"/>
        <v>11136</v>
      </c>
      <c r="Q23" s="309">
        <f t="shared" si="3"/>
        <v>117184.92112572405</v>
      </c>
      <c r="R23" s="308">
        <f t="shared" si="8"/>
        <v>256745.9149651358</v>
      </c>
      <c r="S23" s="302">
        <f t="shared" si="9"/>
        <v>272822.91934343171</v>
      </c>
      <c r="T23" s="303">
        <f t="shared" si="10"/>
        <v>0</v>
      </c>
      <c r="U23" s="327">
        <f t="shared" si="11"/>
        <v>646753.75543429155</v>
      </c>
    </row>
    <row r="24" spans="1:21" x14ac:dyDescent="0.25">
      <c r="A24" s="111">
        <f>Données!A24</f>
        <v>5423</v>
      </c>
      <c r="B24" s="112" t="str">
        <f>Données!B24</f>
        <v>Ballens</v>
      </c>
      <c r="C24" s="307">
        <f>Données!C24</f>
        <v>580</v>
      </c>
      <c r="D24" s="303">
        <f t="shared" si="4"/>
        <v>580</v>
      </c>
      <c r="E24" s="303">
        <f t="shared" ref="E24:J66" si="12">IF($C24&lt;E$4,0,IF($C24&gt;E$5,E$5-E$4,$C24-E$4))</f>
        <v>0</v>
      </c>
      <c r="F24" s="308">
        <f t="shared" si="12"/>
        <v>0</v>
      </c>
      <c r="G24" s="302">
        <f t="shared" si="12"/>
        <v>0</v>
      </c>
      <c r="H24" s="303">
        <f t="shared" si="12"/>
        <v>0</v>
      </c>
      <c r="I24" s="308">
        <f t="shared" si="12"/>
        <v>0</v>
      </c>
      <c r="J24" s="308">
        <f t="shared" si="12"/>
        <v>0</v>
      </c>
      <c r="K24" s="309">
        <f t="shared" si="5"/>
        <v>0</v>
      </c>
      <c r="L24" s="308">
        <f t="shared" si="6"/>
        <v>1160</v>
      </c>
      <c r="M24" s="326">
        <f>Données!AE24</f>
        <v>0</v>
      </c>
      <c r="N24" s="308">
        <v>0</v>
      </c>
      <c r="O24" s="303">
        <f t="shared" si="2"/>
        <v>580</v>
      </c>
      <c r="P24" s="308">
        <f t="shared" si="7"/>
        <v>1160</v>
      </c>
      <c r="Q24" s="309">
        <f t="shared" si="3"/>
        <v>17445.393802084174</v>
      </c>
      <c r="R24" s="308">
        <f t="shared" si="8"/>
        <v>38221.927792551018</v>
      </c>
      <c r="S24" s="302">
        <f t="shared" si="9"/>
        <v>28419.054098274133</v>
      </c>
      <c r="T24" s="303">
        <f t="shared" si="10"/>
        <v>0</v>
      </c>
      <c r="U24" s="327">
        <f t="shared" si="11"/>
        <v>84086.375692909322</v>
      </c>
    </row>
    <row r="25" spans="1:21" x14ac:dyDescent="0.25">
      <c r="A25" s="111">
        <f>Données!A25</f>
        <v>5424</v>
      </c>
      <c r="B25" s="112" t="str">
        <f>Données!B25</f>
        <v>Berolle</v>
      </c>
      <c r="C25" s="307">
        <f>Données!C25</f>
        <v>300</v>
      </c>
      <c r="D25" s="303">
        <f t="shared" si="4"/>
        <v>300</v>
      </c>
      <c r="E25" s="303">
        <f t="shared" si="12"/>
        <v>0</v>
      </c>
      <c r="F25" s="308">
        <f t="shared" si="12"/>
        <v>0</v>
      </c>
      <c r="G25" s="302">
        <f t="shared" si="12"/>
        <v>0</v>
      </c>
      <c r="H25" s="303">
        <f t="shared" si="12"/>
        <v>0</v>
      </c>
      <c r="I25" s="308">
        <f t="shared" si="12"/>
        <v>0</v>
      </c>
      <c r="J25" s="308">
        <f t="shared" si="12"/>
        <v>0</v>
      </c>
      <c r="K25" s="309">
        <f t="shared" si="5"/>
        <v>0</v>
      </c>
      <c r="L25" s="308">
        <f t="shared" si="6"/>
        <v>600</v>
      </c>
      <c r="M25" s="326">
        <f>Données!AE25</f>
        <v>0</v>
      </c>
      <c r="N25" s="308">
        <v>0</v>
      </c>
      <c r="O25" s="303">
        <f t="shared" si="2"/>
        <v>300</v>
      </c>
      <c r="P25" s="308">
        <f t="shared" si="7"/>
        <v>600</v>
      </c>
      <c r="Q25" s="309">
        <f t="shared" si="3"/>
        <v>9023.4795528021605</v>
      </c>
      <c r="R25" s="308">
        <f t="shared" si="8"/>
        <v>19769.962651319493</v>
      </c>
      <c r="S25" s="302">
        <f t="shared" si="9"/>
        <v>14699.510740486621</v>
      </c>
      <c r="T25" s="303">
        <f t="shared" si="10"/>
        <v>0</v>
      </c>
      <c r="U25" s="327">
        <f t="shared" si="11"/>
        <v>43492.952944608274</v>
      </c>
    </row>
    <row r="26" spans="1:21" x14ac:dyDescent="0.25">
      <c r="A26" s="111">
        <f>Données!A26</f>
        <v>5425</v>
      </c>
      <c r="B26" s="112" t="str">
        <f>Données!B26</f>
        <v>Bière</v>
      </c>
      <c r="C26" s="307">
        <f>Données!C26</f>
        <v>1701</v>
      </c>
      <c r="D26" s="303">
        <f t="shared" si="4"/>
        <v>1000</v>
      </c>
      <c r="E26" s="303">
        <f t="shared" si="12"/>
        <v>701</v>
      </c>
      <c r="F26" s="308">
        <f t="shared" si="12"/>
        <v>0</v>
      </c>
      <c r="G26" s="302">
        <f t="shared" si="12"/>
        <v>0</v>
      </c>
      <c r="H26" s="303">
        <f t="shared" si="12"/>
        <v>0</v>
      </c>
      <c r="I26" s="308">
        <f t="shared" si="12"/>
        <v>0</v>
      </c>
      <c r="J26" s="308">
        <f t="shared" si="12"/>
        <v>0</v>
      </c>
      <c r="K26" s="309">
        <f t="shared" si="5"/>
        <v>0</v>
      </c>
      <c r="L26" s="308">
        <f t="shared" si="6"/>
        <v>4103</v>
      </c>
      <c r="M26" s="326">
        <f>Données!AE26</f>
        <v>0</v>
      </c>
      <c r="N26" s="308">
        <v>0</v>
      </c>
      <c r="O26" s="303">
        <f t="shared" si="2"/>
        <v>1701</v>
      </c>
      <c r="P26" s="308">
        <f t="shared" si="7"/>
        <v>4103</v>
      </c>
      <c r="Q26" s="309">
        <f t="shared" si="3"/>
        <v>51163.129064388246</v>
      </c>
      <c r="R26" s="308">
        <f t="shared" si="8"/>
        <v>112095.68823298153</v>
      </c>
      <c r="S26" s="302">
        <f t="shared" si="9"/>
        <v>100520.15428036101</v>
      </c>
      <c r="T26" s="303">
        <f t="shared" si="10"/>
        <v>0</v>
      </c>
      <c r="U26" s="327">
        <f t="shared" si="11"/>
        <v>263778.97157773079</v>
      </c>
    </row>
    <row r="27" spans="1:21" x14ac:dyDescent="0.25">
      <c r="A27" s="111">
        <f>Données!A27</f>
        <v>5426</v>
      </c>
      <c r="B27" s="112" t="str">
        <f>Données!B27</f>
        <v>Bougy-Villars</v>
      </c>
      <c r="C27" s="307">
        <f>Données!C27</f>
        <v>493</v>
      </c>
      <c r="D27" s="303">
        <f t="shared" si="4"/>
        <v>493</v>
      </c>
      <c r="E27" s="303">
        <f t="shared" si="12"/>
        <v>0</v>
      </c>
      <c r="F27" s="308">
        <f t="shared" si="12"/>
        <v>0</v>
      </c>
      <c r="G27" s="302">
        <f t="shared" si="12"/>
        <v>0</v>
      </c>
      <c r="H27" s="303">
        <f t="shared" si="12"/>
        <v>0</v>
      </c>
      <c r="I27" s="308">
        <f t="shared" si="12"/>
        <v>0</v>
      </c>
      <c r="J27" s="308">
        <f t="shared" si="12"/>
        <v>0</v>
      </c>
      <c r="K27" s="309">
        <f t="shared" si="5"/>
        <v>0</v>
      </c>
      <c r="L27" s="308">
        <f t="shared" si="6"/>
        <v>986</v>
      </c>
      <c r="M27" s="326">
        <f>Données!AE27</f>
        <v>0</v>
      </c>
      <c r="N27" s="308">
        <v>0</v>
      </c>
      <c r="O27" s="303">
        <f t="shared" si="2"/>
        <v>493</v>
      </c>
      <c r="P27" s="308">
        <f t="shared" si="7"/>
        <v>986</v>
      </c>
      <c r="Q27" s="309">
        <f t="shared" si="3"/>
        <v>14828.584731771549</v>
      </c>
      <c r="R27" s="308">
        <f t="shared" si="8"/>
        <v>32488.638623668368</v>
      </c>
      <c r="S27" s="302">
        <f t="shared" si="9"/>
        <v>24156.195983533013</v>
      </c>
      <c r="T27" s="303">
        <f t="shared" si="10"/>
        <v>0</v>
      </c>
      <c r="U27" s="327">
        <f t="shared" si="11"/>
        <v>71473.419338972919</v>
      </c>
    </row>
    <row r="28" spans="1:21" x14ac:dyDescent="0.25">
      <c r="A28" s="111">
        <f>Données!A28</f>
        <v>5427</v>
      </c>
      <c r="B28" s="112" t="str">
        <f>Données!B28</f>
        <v>Féchy</v>
      </c>
      <c r="C28" s="307">
        <f>Données!C28</f>
        <v>906</v>
      </c>
      <c r="D28" s="303">
        <f t="shared" si="4"/>
        <v>906</v>
      </c>
      <c r="E28" s="303">
        <f t="shared" si="12"/>
        <v>0</v>
      </c>
      <c r="F28" s="308">
        <f t="shared" si="12"/>
        <v>0</v>
      </c>
      <c r="G28" s="302">
        <f t="shared" si="12"/>
        <v>0</v>
      </c>
      <c r="H28" s="303">
        <f t="shared" si="12"/>
        <v>0</v>
      </c>
      <c r="I28" s="308">
        <f t="shared" si="12"/>
        <v>0</v>
      </c>
      <c r="J28" s="308">
        <f t="shared" si="12"/>
        <v>0</v>
      </c>
      <c r="K28" s="309">
        <f t="shared" si="5"/>
        <v>0</v>
      </c>
      <c r="L28" s="308">
        <f t="shared" si="6"/>
        <v>1812</v>
      </c>
      <c r="M28" s="326">
        <f>Données!AE28</f>
        <v>0</v>
      </c>
      <c r="N28" s="308">
        <v>0</v>
      </c>
      <c r="O28" s="303">
        <f t="shared" si="2"/>
        <v>906</v>
      </c>
      <c r="P28" s="308">
        <f t="shared" si="7"/>
        <v>1812</v>
      </c>
      <c r="Q28" s="309">
        <f t="shared" si="3"/>
        <v>27250.908249462522</v>
      </c>
      <c r="R28" s="308">
        <f t="shared" si="8"/>
        <v>59705.287206984867</v>
      </c>
      <c r="S28" s="302">
        <f t="shared" si="9"/>
        <v>44392.522436269595</v>
      </c>
      <c r="T28" s="303">
        <f t="shared" si="10"/>
        <v>0</v>
      </c>
      <c r="U28" s="327">
        <f t="shared" si="11"/>
        <v>131348.71789271699</v>
      </c>
    </row>
    <row r="29" spans="1:21" x14ac:dyDescent="0.25">
      <c r="A29" s="111">
        <f>Données!A29</f>
        <v>5428</v>
      </c>
      <c r="B29" s="112" t="str">
        <f>Données!B29</f>
        <v>Gimel</v>
      </c>
      <c r="C29" s="307">
        <f>Données!C29</f>
        <v>2453</v>
      </c>
      <c r="D29" s="303">
        <f t="shared" si="4"/>
        <v>1000</v>
      </c>
      <c r="E29" s="303">
        <f t="shared" si="12"/>
        <v>1453</v>
      </c>
      <c r="F29" s="308">
        <f t="shared" si="12"/>
        <v>0</v>
      </c>
      <c r="G29" s="302">
        <f t="shared" si="12"/>
        <v>0</v>
      </c>
      <c r="H29" s="303">
        <f t="shared" si="12"/>
        <v>0</v>
      </c>
      <c r="I29" s="308">
        <f t="shared" si="12"/>
        <v>0</v>
      </c>
      <c r="J29" s="308">
        <f t="shared" si="12"/>
        <v>0</v>
      </c>
      <c r="K29" s="309">
        <f t="shared" si="5"/>
        <v>0</v>
      </c>
      <c r="L29" s="308">
        <f t="shared" si="6"/>
        <v>6359</v>
      </c>
      <c r="M29" s="326">
        <f>Données!AE29</f>
        <v>0</v>
      </c>
      <c r="N29" s="308">
        <v>0</v>
      </c>
      <c r="O29" s="303">
        <f t="shared" si="2"/>
        <v>2453</v>
      </c>
      <c r="P29" s="308">
        <f t="shared" si="7"/>
        <v>6359</v>
      </c>
      <c r="Q29" s="309">
        <f t="shared" si="3"/>
        <v>73781.984476745667</v>
      </c>
      <c r="R29" s="308">
        <f t="shared" si="8"/>
        <v>161652.39461228906</v>
      </c>
      <c r="S29" s="302">
        <f t="shared" si="9"/>
        <v>155790.3146645907</v>
      </c>
      <c r="T29" s="303">
        <f t="shared" si="10"/>
        <v>0</v>
      </c>
      <c r="U29" s="327">
        <f t="shared" si="11"/>
        <v>391224.69375362544</v>
      </c>
    </row>
    <row r="30" spans="1:21" x14ac:dyDescent="0.25">
      <c r="A30" s="111">
        <f>Données!A30</f>
        <v>5429</v>
      </c>
      <c r="B30" s="112" t="str">
        <f>Données!B30</f>
        <v>Longirod</v>
      </c>
      <c r="C30" s="307">
        <f>Données!C30</f>
        <v>558</v>
      </c>
      <c r="D30" s="303">
        <f t="shared" si="4"/>
        <v>558</v>
      </c>
      <c r="E30" s="303">
        <f t="shared" si="12"/>
        <v>0</v>
      </c>
      <c r="F30" s="308">
        <f t="shared" si="12"/>
        <v>0</v>
      </c>
      <c r="G30" s="302">
        <f t="shared" si="12"/>
        <v>0</v>
      </c>
      <c r="H30" s="303">
        <f t="shared" si="12"/>
        <v>0</v>
      </c>
      <c r="I30" s="308">
        <f t="shared" si="12"/>
        <v>0</v>
      </c>
      <c r="J30" s="308">
        <f t="shared" si="12"/>
        <v>0</v>
      </c>
      <c r="K30" s="309">
        <f t="shared" si="5"/>
        <v>0</v>
      </c>
      <c r="L30" s="308">
        <f t="shared" si="6"/>
        <v>1116</v>
      </c>
      <c r="M30" s="326">
        <f>Données!AE30</f>
        <v>0</v>
      </c>
      <c r="N30" s="308">
        <v>0</v>
      </c>
      <c r="O30" s="303">
        <f t="shared" si="2"/>
        <v>558</v>
      </c>
      <c r="P30" s="308">
        <f t="shared" si="7"/>
        <v>1116</v>
      </c>
      <c r="Q30" s="309">
        <f t="shared" si="3"/>
        <v>16783.671968212017</v>
      </c>
      <c r="R30" s="308">
        <f t="shared" si="8"/>
        <v>36772.130531454255</v>
      </c>
      <c r="S30" s="302">
        <f t="shared" si="9"/>
        <v>27341.089977305117</v>
      </c>
      <c r="T30" s="303">
        <f t="shared" si="10"/>
        <v>0</v>
      </c>
      <c r="U30" s="327">
        <f t="shared" si="11"/>
        <v>80896.892476971392</v>
      </c>
    </row>
    <row r="31" spans="1:21" x14ac:dyDescent="0.25">
      <c r="A31" s="111">
        <f>Données!A31</f>
        <v>5430</v>
      </c>
      <c r="B31" s="112" t="str">
        <f>Données!B31</f>
        <v>Marchissy</v>
      </c>
      <c r="C31" s="307">
        <f>Données!C31</f>
        <v>492</v>
      </c>
      <c r="D31" s="303">
        <f t="shared" si="4"/>
        <v>492</v>
      </c>
      <c r="E31" s="303">
        <f t="shared" si="12"/>
        <v>0</v>
      </c>
      <c r="F31" s="308">
        <f t="shared" si="12"/>
        <v>0</v>
      </c>
      <c r="G31" s="302">
        <f t="shared" si="12"/>
        <v>0</v>
      </c>
      <c r="H31" s="303">
        <f t="shared" si="12"/>
        <v>0</v>
      </c>
      <c r="I31" s="308">
        <f t="shared" si="12"/>
        <v>0</v>
      </c>
      <c r="J31" s="308">
        <f t="shared" si="12"/>
        <v>0</v>
      </c>
      <c r="K31" s="309">
        <f t="shared" si="5"/>
        <v>0</v>
      </c>
      <c r="L31" s="308">
        <f t="shared" si="6"/>
        <v>984</v>
      </c>
      <c r="M31" s="326">
        <f>Données!AE31</f>
        <v>0</v>
      </c>
      <c r="N31" s="308">
        <v>0</v>
      </c>
      <c r="O31" s="303">
        <f t="shared" si="2"/>
        <v>492</v>
      </c>
      <c r="P31" s="308">
        <f t="shared" si="7"/>
        <v>984</v>
      </c>
      <c r="Q31" s="309">
        <f t="shared" si="3"/>
        <v>14798.506466595541</v>
      </c>
      <c r="R31" s="308">
        <f t="shared" si="8"/>
        <v>32422.738748163967</v>
      </c>
      <c r="S31" s="302">
        <f t="shared" si="9"/>
        <v>24107.197614398057</v>
      </c>
      <c r="T31" s="303">
        <f t="shared" si="10"/>
        <v>0</v>
      </c>
      <c r="U31" s="327">
        <f t="shared" si="11"/>
        <v>71328.442829157575</v>
      </c>
    </row>
    <row r="32" spans="1:21" x14ac:dyDescent="0.25">
      <c r="A32" s="111">
        <f>Données!A32</f>
        <v>5431</v>
      </c>
      <c r="B32" s="112" t="str">
        <f>Données!B32</f>
        <v>Mollens</v>
      </c>
      <c r="C32" s="307">
        <f>Données!C32</f>
        <v>320</v>
      </c>
      <c r="D32" s="303">
        <f t="shared" si="4"/>
        <v>320</v>
      </c>
      <c r="E32" s="303">
        <f t="shared" si="12"/>
        <v>0</v>
      </c>
      <c r="F32" s="308">
        <f t="shared" si="12"/>
        <v>0</v>
      </c>
      <c r="G32" s="302">
        <f t="shared" si="12"/>
        <v>0</v>
      </c>
      <c r="H32" s="303">
        <f t="shared" si="12"/>
        <v>0</v>
      </c>
      <c r="I32" s="308">
        <f t="shared" si="12"/>
        <v>0</v>
      </c>
      <c r="J32" s="308">
        <f t="shared" si="12"/>
        <v>0</v>
      </c>
      <c r="K32" s="309">
        <f t="shared" si="5"/>
        <v>0</v>
      </c>
      <c r="L32" s="308">
        <f t="shared" si="6"/>
        <v>640</v>
      </c>
      <c r="M32" s="326">
        <f>Données!AE32</f>
        <v>0</v>
      </c>
      <c r="N32" s="308">
        <v>0</v>
      </c>
      <c r="O32" s="303">
        <f t="shared" si="2"/>
        <v>320</v>
      </c>
      <c r="P32" s="308">
        <f t="shared" si="7"/>
        <v>640</v>
      </c>
      <c r="Q32" s="309">
        <f t="shared" si="3"/>
        <v>9625.0448563223035</v>
      </c>
      <c r="R32" s="308">
        <f t="shared" si="8"/>
        <v>21087.96016140746</v>
      </c>
      <c r="S32" s="302">
        <f t="shared" si="9"/>
        <v>15679.478123185729</v>
      </c>
      <c r="T32" s="303">
        <f t="shared" si="10"/>
        <v>0</v>
      </c>
      <c r="U32" s="327">
        <f t="shared" si="11"/>
        <v>46392.483140915494</v>
      </c>
    </row>
    <row r="33" spans="1:21" x14ac:dyDescent="0.25">
      <c r="A33" s="111">
        <f>Données!A33</f>
        <v>5434</v>
      </c>
      <c r="B33" s="112" t="str">
        <f>Données!B33</f>
        <v>Saint-George</v>
      </c>
      <c r="C33" s="307">
        <f>Données!C33</f>
        <v>1082</v>
      </c>
      <c r="D33" s="303">
        <f t="shared" si="4"/>
        <v>1000</v>
      </c>
      <c r="E33" s="303">
        <f t="shared" si="12"/>
        <v>82</v>
      </c>
      <c r="F33" s="308">
        <f t="shared" si="12"/>
        <v>0</v>
      </c>
      <c r="G33" s="302">
        <f t="shared" si="12"/>
        <v>0</v>
      </c>
      <c r="H33" s="303">
        <f t="shared" si="12"/>
        <v>0</v>
      </c>
      <c r="I33" s="308">
        <f t="shared" si="12"/>
        <v>0</v>
      </c>
      <c r="J33" s="308">
        <f t="shared" si="12"/>
        <v>0</v>
      </c>
      <c r="K33" s="309">
        <f t="shared" si="5"/>
        <v>0</v>
      </c>
      <c r="L33" s="308">
        <f t="shared" si="6"/>
        <v>2246</v>
      </c>
      <c r="M33" s="326">
        <f>Données!AE33</f>
        <v>0</v>
      </c>
      <c r="N33" s="308">
        <v>0</v>
      </c>
      <c r="O33" s="303">
        <f t="shared" si="2"/>
        <v>1082</v>
      </c>
      <c r="P33" s="308">
        <f t="shared" si="7"/>
        <v>2246</v>
      </c>
      <c r="Q33" s="309">
        <f t="shared" si="3"/>
        <v>32544.682920439791</v>
      </c>
      <c r="R33" s="308">
        <f t="shared" si="8"/>
        <v>71303.665295758969</v>
      </c>
      <c r="S33" s="302">
        <f t="shared" si="9"/>
        <v>55025.168538554921</v>
      </c>
      <c r="T33" s="303">
        <f t="shared" si="10"/>
        <v>0</v>
      </c>
      <c r="U33" s="327">
        <f t="shared" si="11"/>
        <v>158873.51675475368</v>
      </c>
    </row>
    <row r="34" spans="1:21" x14ac:dyDescent="0.25">
      <c r="A34" s="111">
        <f>Données!A34</f>
        <v>5435</v>
      </c>
      <c r="B34" s="112" t="str">
        <f>Données!B34</f>
        <v>Saint-Livres</v>
      </c>
      <c r="C34" s="307">
        <f>Données!C34</f>
        <v>708</v>
      </c>
      <c r="D34" s="303">
        <f t="shared" si="4"/>
        <v>708</v>
      </c>
      <c r="E34" s="303">
        <f t="shared" si="12"/>
        <v>0</v>
      </c>
      <c r="F34" s="308">
        <f t="shared" si="12"/>
        <v>0</v>
      </c>
      <c r="G34" s="302">
        <f t="shared" si="12"/>
        <v>0</v>
      </c>
      <c r="H34" s="303">
        <f t="shared" si="12"/>
        <v>0</v>
      </c>
      <c r="I34" s="308">
        <f t="shared" si="12"/>
        <v>0</v>
      </c>
      <c r="J34" s="308">
        <f t="shared" si="12"/>
        <v>0</v>
      </c>
      <c r="K34" s="309">
        <f t="shared" si="5"/>
        <v>0</v>
      </c>
      <c r="L34" s="308">
        <f t="shared" si="6"/>
        <v>1416</v>
      </c>
      <c r="M34" s="326">
        <f>Données!AE34</f>
        <v>0</v>
      </c>
      <c r="N34" s="308">
        <v>0</v>
      </c>
      <c r="O34" s="303">
        <f t="shared" si="2"/>
        <v>708</v>
      </c>
      <c r="P34" s="308">
        <f t="shared" si="7"/>
        <v>1416</v>
      </c>
      <c r="Q34" s="309">
        <f t="shared" si="3"/>
        <v>21295.411744613099</v>
      </c>
      <c r="R34" s="308">
        <f t="shared" si="8"/>
        <v>46657.111857114003</v>
      </c>
      <c r="S34" s="302">
        <f t="shared" si="9"/>
        <v>34690.845347548428</v>
      </c>
      <c r="T34" s="303">
        <f t="shared" si="10"/>
        <v>0</v>
      </c>
      <c r="U34" s="327">
        <f t="shared" si="11"/>
        <v>102643.36894927552</v>
      </c>
    </row>
    <row r="35" spans="1:21" x14ac:dyDescent="0.25">
      <c r="A35" s="111">
        <f>Données!A35</f>
        <v>5436</v>
      </c>
      <c r="B35" s="112" t="str">
        <f>Données!B35</f>
        <v>Saint-Oyens</v>
      </c>
      <c r="C35" s="307">
        <f>Données!C35</f>
        <v>449</v>
      </c>
      <c r="D35" s="303">
        <f t="shared" si="4"/>
        <v>449</v>
      </c>
      <c r="E35" s="303">
        <f t="shared" si="12"/>
        <v>0</v>
      </c>
      <c r="F35" s="308">
        <f t="shared" si="12"/>
        <v>0</v>
      </c>
      <c r="G35" s="302">
        <f t="shared" si="12"/>
        <v>0</v>
      </c>
      <c r="H35" s="303">
        <f t="shared" si="12"/>
        <v>0</v>
      </c>
      <c r="I35" s="308">
        <f t="shared" si="12"/>
        <v>0</v>
      </c>
      <c r="J35" s="308">
        <f t="shared" si="12"/>
        <v>0</v>
      </c>
      <c r="K35" s="309">
        <f t="shared" si="5"/>
        <v>0</v>
      </c>
      <c r="L35" s="308">
        <f t="shared" si="6"/>
        <v>898</v>
      </c>
      <c r="M35" s="326">
        <f>Données!AE35</f>
        <v>0</v>
      </c>
      <c r="N35" s="308">
        <v>0</v>
      </c>
      <c r="O35" s="303">
        <f t="shared" si="2"/>
        <v>449</v>
      </c>
      <c r="P35" s="308">
        <f t="shared" si="7"/>
        <v>898</v>
      </c>
      <c r="Q35" s="309">
        <f t="shared" si="3"/>
        <v>13505.141064027233</v>
      </c>
      <c r="R35" s="308">
        <f t="shared" si="8"/>
        <v>29589.044101474839</v>
      </c>
      <c r="S35" s="302">
        <f t="shared" si="9"/>
        <v>22000.267741594977</v>
      </c>
      <c r="T35" s="303">
        <f t="shared" si="10"/>
        <v>0</v>
      </c>
      <c r="U35" s="327">
        <f t="shared" si="11"/>
        <v>65094.452907097046</v>
      </c>
    </row>
    <row r="36" spans="1:21" x14ac:dyDescent="0.25">
      <c r="A36" s="111">
        <f>Données!A36</f>
        <v>5437</v>
      </c>
      <c r="B36" s="112" t="str">
        <f>Données!B36</f>
        <v>Saubraz</v>
      </c>
      <c r="C36" s="307">
        <f>Données!C36</f>
        <v>441</v>
      </c>
      <c r="D36" s="303">
        <f t="shared" si="4"/>
        <v>441</v>
      </c>
      <c r="E36" s="303">
        <f t="shared" si="12"/>
        <v>0</v>
      </c>
      <c r="F36" s="308">
        <f t="shared" si="12"/>
        <v>0</v>
      </c>
      <c r="G36" s="302">
        <f t="shared" si="12"/>
        <v>0</v>
      </c>
      <c r="H36" s="303">
        <f t="shared" si="12"/>
        <v>0</v>
      </c>
      <c r="I36" s="308">
        <f t="shared" si="12"/>
        <v>0</v>
      </c>
      <c r="J36" s="308">
        <f t="shared" si="12"/>
        <v>0</v>
      </c>
      <c r="K36" s="309">
        <f t="shared" si="5"/>
        <v>0</v>
      </c>
      <c r="L36" s="308">
        <f t="shared" si="6"/>
        <v>882</v>
      </c>
      <c r="M36" s="326">
        <f>Données!AE36</f>
        <v>0</v>
      </c>
      <c r="N36" s="308">
        <v>0</v>
      </c>
      <c r="O36" s="303">
        <f t="shared" si="2"/>
        <v>441</v>
      </c>
      <c r="P36" s="308">
        <f t="shared" si="7"/>
        <v>882</v>
      </c>
      <c r="Q36" s="309">
        <f t="shared" si="3"/>
        <v>13264.514942619175</v>
      </c>
      <c r="R36" s="308">
        <f t="shared" si="8"/>
        <v>29061.845097439655</v>
      </c>
      <c r="S36" s="302">
        <f t="shared" si="9"/>
        <v>21608.280788515334</v>
      </c>
      <c r="T36" s="303">
        <f t="shared" si="10"/>
        <v>0</v>
      </c>
      <c r="U36" s="327">
        <f t="shared" si="11"/>
        <v>63934.640828574164</v>
      </c>
    </row>
    <row r="37" spans="1:21" x14ac:dyDescent="0.25">
      <c r="A37" s="111">
        <f>Données!A37</f>
        <v>5451</v>
      </c>
      <c r="B37" s="112" t="str">
        <f>Données!B37</f>
        <v>Avenches</v>
      </c>
      <c r="C37" s="307">
        <f>Données!C37</f>
        <v>4953</v>
      </c>
      <c r="D37" s="303">
        <f t="shared" si="4"/>
        <v>1000</v>
      </c>
      <c r="E37" s="303">
        <f t="shared" si="12"/>
        <v>2000</v>
      </c>
      <c r="F37" s="308">
        <f t="shared" si="12"/>
        <v>1953</v>
      </c>
      <c r="G37" s="302">
        <f t="shared" si="12"/>
        <v>0</v>
      </c>
      <c r="H37" s="303">
        <f t="shared" si="12"/>
        <v>0</v>
      </c>
      <c r="I37" s="308">
        <f t="shared" si="12"/>
        <v>0</v>
      </c>
      <c r="J37" s="308">
        <f t="shared" si="12"/>
        <v>0</v>
      </c>
      <c r="K37" s="309">
        <f t="shared" si="5"/>
        <v>0</v>
      </c>
      <c r="L37" s="308">
        <f t="shared" si="6"/>
        <v>14835.5</v>
      </c>
      <c r="M37" s="326">
        <f>Données!AE37</f>
        <v>0</v>
      </c>
      <c r="N37" s="308">
        <v>0</v>
      </c>
      <c r="O37" s="303">
        <f t="shared" si="2"/>
        <v>4953</v>
      </c>
      <c r="P37" s="308">
        <f t="shared" si="7"/>
        <v>14835.5</v>
      </c>
      <c r="Q37" s="309">
        <f t="shared" si="3"/>
        <v>148977.64741676365</v>
      </c>
      <c r="R37" s="308">
        <f t="shared" si="8"/>
        <v>326402.08337328484</v>
      </c>
      <c r="S37" s="302">
        <f t="shared" si="9"/>
        <v>363457.65265081543</v>
      </c>
      <c r="T37" s="303">
        <f t="shared" si="10"/>
        <v>0</v>
      </c>
      <c r="U37" s="327">
        <f t="shared" si="11"/>
        <v>838837.38344086392</v>
      </c>
    </row>
    <row r="38" spans="1:21" x14ac:dyDescent="0.25">
      <c r="A38" s="111">
        <f>Données!A38</f>
        <v>5456</v>
      </c>
      <c r="B38" s="112" t="str">
        <f>Données!B38</f>
        <v>Cudrefin</v>
      </c>
      <c r="C38" s="307">
        <f>Données!C38</f>
        <v>1915</v>
      </c>
      <c r="D38" s="303">
        <f t="shared" si="4"/>
        <v>1000</v>
      </c>
      <c r="E38" s="303">
        <f t="shared" si="12"/>
        <v>915</v>
      </c>
      <c r="F38" s="308">
        <f t="shared" si="12"/>
        <v>0</v>
      </c>
      <c r="G38" s="302">
        <f t="shared" si="12"/>
        <v>0</v>
      </c>
      <c r="H38" s="303">
        <f t="shared" si="12"/>
        <v>0</v>
      </c>
      <c r="I38" s="308">
        <f t="shared" si="12"/>
        <v>0</v>
      </c>
      <c r="J38" s="308">
        <f t="shared" si="12"/>
        <v>0</v>
      </c>
      <c r="K38" s="309">
        <f t="shared" si="5"/>
        <v>0</v>
      </c>
      <c r="L38" s="308">
        <f t="shared" si="6"/>
        <v>4745</v>
      </c>
      <c r="M38" s="326">
        <f>Données!AE38</f>
        <v>0</v>
      </c>
      <c r="N38" s="308">
        <v>0</v>
      </c>
      <c r="O38" s="303">
        <f t="shared" si="2"/>
        <v>1915</v>
      </c>
      <c r="P38" s="308">
        <f t="shared" si="7"/>
        <v>4745</v>
      </c>
      <c r="Q38" s="309">
        <f t="shared" si="3"/>
        <v>57599.87781205379</v>
      </c>
      <c r="R38" s="308">
        <f t="shared" si="8"/>
        <v>126198.26159092276</v>
      </c>
      <c r="S38" s="302">
        <f t="shared" si="9"/>
        <v>116248.63077268169</v>
      </c>
      <c r="T38" s="303">
        <f t="shared" si="10"/>
        <v>0</v>
      </c>
      <c r="U38" s="327">
        <f t="shared" si="11"/>
        <v>300046.77017565822</v>
      </c>
    </row>
    <row r="39" spans="1:21" x14ac:dyDescent="0.25">
      <c r="A39" s="111">
        <f>Données!A39</f>
        <v>5458</v>
      </c>
      <c r="B39" s="112" t="str">
        <f>Données!B39</f>
        <v>Faoug</v>
      </c>
      <c r="C39" s="307">
        <f>Données!C39</f>
        <v>902</v>
      </c>
      <c r="D39" s="303">
        <f t="shared" si="4"/>
        <v>902</v>
      </c>
      <c r="E39" s="303">
        <f t="shared" si="12"/>
        <v>0</v>
      </c>
      <c r="F39" s="308">
        <f t="shared" si="12"/>
        <v>0</v>
      </c>
      <c r="G39" s="302">
        <f t="shared" si="12"/>
        <v>0</v>
      </c>
      <c r="H39" s="303">
        <f t="shared" si="12"/>
        <v>0</v>
      </c>
      <c r="I39" s="308">
        <f t="shared" si="12"/>
        <v>0</v>
      </c>
      <c r="J39" s="308">
        <f t="shared" si="12"/>
        <v>0</v>
      </c>
      <c r="K39" s="309">
        <f t="shared" si="5"/>
        <v>0</v>
      </c>
      <c r="L39" s="308">
        <f t="shared" si="6"/>
        <v>1804</v>
      </c>
      <c r="M39" s="326">
        <f>Données!AE39</f>
        <v>0</v>
      </c>
      <c r="N39" s="308">
        <v>0</v>
      </c>
      <c r="O39" s="303">
        <f t="shared" si="2"/>
        <v>902</v>
      </c>
      <c r="P39" s="308">
        <f t="shared" si="7"/>
        <v>1804</v>
      </c>
      <c r="Q39" s="309">
        <f t="shared" si="3"/>
        <v>27130.595188758496</v>
      </c>
      <c r="R39" s="308">
        <f t="shared" si="8"/>
        <v>59441.687704967277</v>
      </c>
      <c r="S39" s="302">
        <f t="shared" si="9"/>
        <v>44196.528959729774</v>
      </c>
      <c r="T39" s="303">
        <f t="shared" si="10"/>
        <v>0</v>
      </c>
      <c r="U39" s="327">
        <f t="shared" si="11"/>
        <v>130768.81185345555</v>
      </c>
    </row>
    <row r="40" spans="1:21" x14ac:dyDescent="0.25">
      <c r="A40" s="111">
        <f>Données!A40</f>
        <v>5464</v>
      </c>
      <c r="B40" s="112" t="str">
        <f>Données!B40</f>
        <v>Vully-les-Lacs</v>
      </c>
      <c r="C40" s="307">
        <f>Données!C40</f>
        <v>3698</v>
      </c>
      <c r="D40" s="303">
        <f t="shared" si="4"/>
        <v>1000</v>
      </c>
      <c r="E40" s="303">
        <f t="shared" si="12"/>
        <v>2000</v>
      </c>
      <c r="F40" s="308">
        <f t="shared" si="12"/>
        <v>698</v>
      </c>
      <c r="G40" s="302">
        <f t="shared" si="12"/>
        <v>0</v>
      </c>
      <c r="H40" s="303">
        <f t="shared" si="12"/>
        <v>0</v>
      </c>
      <c r="I40" s="308">
        <f t="shared" si="12"/>
        <v>0</v>
      </c>
      <c r="J40" s="308">
        <f t="shared" si="12"/>
        <v>0</v>
      </c>
      <c r="K40" s="309">
        <f t="shared" si="5"/>
        <v>0</v>
      </c>
      <c r="L40" s="308">
        <f t="shared" si="6"/>
        <v>10443</v>
      </c>
      <c r="M40" s="326">
        <f>Données!AE40</f>
        <v>0</v>
      </c>
      <c r="N40" s="308">
        <v>0</v>
      </c>
      <c r="O40" s="303">
        <f t="shared" si="2"/>
        <v>3698</v>
      </c>
      <c r="P40" s="308">
        <f t="shared" si="7"/>
        <v>10443</v>
      </c>
      <c r="Q40" s="309">
        <f t="shared" si="3"/>
        <v>111229.42462087462</v>
      </c>
      <c r="R40" s="308">
        <f t="shared" si="8"/>
        <v>243697.73961526496</v>
      </c>
      <c r="S40" s="302">
        <f t="shared" si="9"/>
        <v>255844.98443816963</v>
      </c>
      <c r="T40" s="303">
        <f t="shared" si="10"/>
        <v>0</v>
      </c>
      <c r="U40" s="327">
        <f t="shared" si="11"/>
        <v>610772.14867430925</v>
      </c>
    </row>
    <row r="41" spans="1:21" x14ac:dyDescent="0.25">
      <c r="A41" s="111">
        <f>Données!A41</f>
        <v>5471</v>
      </c>
      <c r="B41" s="112" t="str">
        <f>Données!B41</f>
        <v>Bettens</v>
      </c>
      <c r="C41" s="307">
        <f>Données!C41</f>
        <v>652</v>
      </c>
      <c r="D41" s="303">
        <f t="shared" si="4"/>
        <v>652</v>
      </c>
      <c r="E41" s="303">
        <f t="shared" si="12"/>
        <v>0</v>
      </c>
      <c r="F41" s="308">
        <f t="shared" si="12"/>
        <v>0</v>
      </c>
      <c r="G41" s="302">
        <f t="shared" si="12"/>
        <v>0</v>
      </c>
      <c r="H41" s="303">
        <f t="shared" si="12"/>
        <v>0</v>
      </c>
      <c r="I41" s="308">
        <f t="shared" si="12"/>
        <v>0</v>
      </c>
      <c r="J41" s="308">
        <f t="shared" si="12"/>
        <v>0</v>
      </c>
      <c r="K41" s="309">
        <f t="shared" si="5"/>
        <v>0</v>
      </c>
      <c r="L41" s="308">
        <f t="shared" si="6"/>
        <v>1304</v>
      </c>
      <c r="M41" s="326">
        <f>Données!AE41</f>
        <v>0</v>
      </c>
      <c r="N41" s="308">
        <v>0</v>
      </c>
      <c r="O41" s="303">
        <f t="shared" si="2"/>
        <v>652</v>
      </c>
      <c r="P41" s="308">
        <f t="shared" si="7"/>
        <v>1304</v>
      </c>
      <c r="Q41" s="309">
        <f t="shared" si="3"/>
        <v>19611.028894756695</v>
      </c>
      <c r="R41" s="308">
        <f t="shared" si="8"/>
        <v>42966.718828867699</v>
      </c>
      <c r="S41" s="302">
        <f t="shared" si="9"/>
        <v>31946.936675990924</v>
      </c>
      <c r="T41" s="303">
        <f t="shared" si="10"/>
        <v>0</v>
      </c>
      <c r="U41" s="327">
        <f t="shared" si="11"/>
        <v>94524.684399615318</v>
      </c>
    </row>
    <row r="42" spans="1:21" x14ac:dyDescent="0.25">
      <c r="A42" s="111">
        <f>Données!A42</f>
        <v>5472</v>
      </c>
      <c r="B42" s="112" t="str">
        <f>Données!B42</f>
        <v>Bournens</v>
      </c>
      <c r="C42" s="307">
        <f>Données!C42</f>
        <v>612</v>
      </c>
      <c r="D42" s="303">
        <f t="shared" si="4"/>
        <v>612</v>
      </c>
      <c r="E42" s="303">
        <f t="shared" si="12"/>
        <v>0</v>
      </c>
      <c r="F42" s="308">
        <f t="shared" si="12"/>
        <v>0</v>
      </c>
      <c r="G42" s="302">
        <f t="shared" si="12"/>
        <v>0</v>
      </c>
      <c r="H42" s="303">
        <f t="shared" si="12"/>
        <v>0</v>
      </c>
      <c r="I42" s="308">
        <f t="shared" si="12"/>
        <v>0</v>
      </c>
      <c r="J42" s="308">
        <f t="shared" si="12"/>
        <v>0</v>
      </c>
      <c r="K42" s="309">
        <f t="shared" si="5"/>
        <v>0</v>
      </c>
      <c r="L42" s="308">
        <f t="shared" si="6"/>
        <v>1224</v>
      </c>
      <c r="M42" s="326">
        <f>Données!AE42</f>
        <v>0</v>
      </c>
      <c r="N42" s="308">
        <v>0</v>
      </c>
      <c r="O42" s="303">
        <f t="shared" si="2"/>
        <v>612</v>
      </c>
      <c r="P42" s="308">
        <f t="shared" si="7"/>
        <v>1224</v>
      </c>
      <c r="Q42" s="309">
        <f t="shared" si="3"/>
        <v>18407.898287716405</v>
      </c>
      <c r="R42" s="308">
        <f t="shared" si="8"/>
        <v>40330.723808691764</v>
      </c>
      <c r="S42" s="302">
        <f t="shared" si="9"/>
        <v>29987.001910592706</v>
      </c>
      <c r="T42" s="303">
        <f t="shared" si="10"/>
        <v>0</v>
      </c>
      <c r="U42" s="327">
        <f t="shared" si="11"/>
        <v>88725.624007000879</v>
      </c>
    </row>
    <row r="43" spans="1:21" x14ac:dyDescent="0.25">
      <c r="A43" s="111">
        <f>Données!A43</f>
        <v>5473</v>
      </c>
      <c r="B43" s="112" t="str">
        <f>Données!B43</f>
        <v>Boussens</v>
      </c>
      <c r="C43" s="307">
        <f>Données!C43</f>
        <v>1016</v>
      </c>
      <c r="D43" s="303">
        <f t="shared" si="4"/>
        <v>1000</v>
      </c>
      <c r="E43" s="303">
        <f t="shared" si="12"/>
        <v>16</v>
      </c>
      <c r="F43" s="308">
        <f t="shared" si="12"/>
        <v>0</v>
      </c>
      <c r="G43" s="302">
        <f t="shared" si="12"/>
        <v>0</v>
      </c>
      <c r="H43" s="303">
        <f t="shared" si="12"/>
        <v>0</v>
      </c>
      <c r="I43" s="308">
        <f t="shared" si="12"/>
        <v>0</v>
      </c>
      <c r="J43" s="308">
        <f t="shared" si="12"/>
        <v>0</v>
      </c>
      <c r="K43" s="309">
        <f t="shared" si="5"/>
        <v>0</v>
      </c>
      <c r="L43" s="308">
        <f t="shared" si="6"/>
        <v>2048</v>
      </c>
      <c r="M43" s="326">
        <f>Données!AE43</f>
        <v>0</v>
      </c>
      <c r="N43" s="308">
        <v>0</v>
      </c>
      <c r="O43" s="303">
        <f t="shared" si="2"/>
        <v>1016</v>
      </c>
      <c r="P43" s="308">
        <f t="shared" si="7"/>
        <v>2048</v>
      </c>
      <c r="Q43" s="309">
        <f t="shared" si="3"/>
        <v>30559.517418823314</v>
      </c>
      <c r="R43" s="308">
        <f t="shared" si="8"/>
        <v>66954.273512468688</v>
      </c>
      <c r="S43" s="302">
        <f t="shared" si="9"/>
        <v>50174.329994194333</v>
      </c>
      <c r="T43" s="303">
        <f t="shared" si="10"/>
        <v>0</v>
      </c>
      <c r="U43" s="327">
        <f t="shared" si="11"/>
        <v>147688.12092548632</v>
      </c>
    </row>
    <row r="44" spans="1:21" x14ac:dyDescent="0.25">
      <c r="A44" s="111">
        <f>Données!A44</f>
        <v>5474</v>
      </c>
      <c r="B44" s="112" t="str">
        <f>Données!B44</f>
        <v>La Chaux (Cossonay)</v>
      </c>
      <c r="C44" s="307">
        <f>Données!C44</f>
        <v>421</v>
      </c>
      <c r="D44" s="303">
        <f t="shared" si="4"/>
        <v>421</v>
      </c>
      <c r="E44" s="303">
        <f t="shared" si="12"/>
        <v>0</v>
      </c>
      <c r="F44" s="308">
        <f t="shared" si="12"/>
        <v>0</v>
      </c>
      <c r="G44" s="302">
        <f t="shared" si="12"/>
        <v>0</v>
      </c>
      <c r="H44" s="303">
        <f t="shared" si="12"/>
        <v>0</v>
      </c>
      <c r="I44" s="308">
        <f t="shared" si="12"/>
        <v>0</v>
      </c>
      <c r="J44" s="308">
        <f t="shared" si="12"/>
        <v>0</v>
      </c>
      <c r="K44" s="309">
        <f t="shared" si="5"/>
        <v>0</v>
      </c>
      <c r="L44" s="308">
        <f t="shared" si="6"/>
        <v>842</v>
      </c>
      <c r="M44" s="326">
        <f>Données!AE44</f>
        <v>0</v>
      </c>
      <c r="N44" s="308">
        <v>0</v>
      </c>
      <c r="O44" s="303">
        <f t="shared" si="2"/>
        <v>421</v>
      </c>
      <c r="P44" s="308">
        <f t="shared" si="7"/>
        <v>842</v>
      </c>
      <c r="Q44" s="309">
        <f t="shared" si="3"/>
        <v>12662.949639099032</v>
      </c>
      <c r="R44" s="308">
        <f t="shared" si="8"/>
        <v>27743.847587351687</v>
      </c>
      <c r="S44" s="302">
        <f t="shared" si="9"/>
        <v>20628.313405816225</v>
      </c>
      <c r="T44" s="303">
        <f t="shared" si="10"/>
        <v>0</v>
      </c>
      <c r="U44" s="327">
        <f t="shared" si="11"/>
        <v>61035.110632266944</v>
      </c>
    </row>
    <row r="45" spans="1:21" x14ac:dyDescent="0.25">
      <c r="A45" s="111">
        <f>Données!A45</f>
        <v>5475</v>
      </c>
      <c r="B45" s="112" t="str">
        <f>Données!B45</f>
        <v>Chavannes-le-Veyron</v>
      </c>
      <c r="C45" s="307">
        <f>Données!C45</f>
        <v>160</v>
      </c>
      <c r="D45" s="303">
        <f t="shared" si="4"/>
        <v>160</v>
      </c>
      <c r="E45" s="303">
        <f t="shared" si="12"/>
        <v>0</v>
      </c>
      <c r="F45" s="308">
        <f t="shared" si="12"/>
        <v>0</v>
      </c>
      <c r="G45" s="302">
        <f t="shared" si="12"/>
        <v>0</v>
      </c>
      <c r="H45" s="303">
        <f t="shared" si="12"/>
        <v>0</v>
      </c>
      <c r="I45" s="308">
        <f t="shared" si="12"/>
        <v>0</v>
      </c>
      <c r="J45" s="308">
        <f t="shared" si="12"/>
        <v>0</v>
      </c>
      <c r="K45" s="309">
        <f t="shared" si="5"/>
        <v>0</v>
      </c>
      <c r="L45" s="308">
        <f t="shared" si="6"/>
        <v>320</v>
      </c>
      <c r="M45" s="326">
        <f>Données!AE45</f>
        <v>0</v>
      </c>
      <c r="N45" s="308">
        <v>0</v>
      </c>
      <c r="O45" s="303">
        <f t="shared" si="2"/>
        <v>160</v>
      </c>
      <c r="P45" s="308">
        <f t="shared" si="7"/>
        <v>320</v>
      </c>
      <c r="Q45" s="309">
        <f t="shared" si="3"/>
        <v>4812.5224281611518</v>
      </c>
      <c r="R45" s="308">
        <f t="shared" si="8"/>
        <v>10543.98008070373</v>
      </c>
      <c r="S45" s="302">
        <f t="shared" si="9"/>
        <v>7839.7390615928643</v>
      </c>
      <c r="T45" s="303">
        <f t="shared" si="10"/>
        <v>0</v>
      </c>
      <c r="U45" s="327">
        <f t="shared" si="11"/>
        <v>23196.241570457747</v>
      </c>
    </row>
    <row r="46" spans="1:21" x14ac:dyDescent="0.25">
      <c r="A46" s="111">
        <f>Données!A46</f>
        <v>5476</v>
      </c>
      <c r="B46" s="112" t="str">
        <f>Données!B46</f>
        <v>Chevilly</v>
      </c>
      <c r="C46" s="307">
        <f>Données!C46</f>
        <v>345</v>
      </c>
      <c r="D46" s="303">
        <f t="shared" si="4"/>
        <v>345</v>
      </c>
      <c r="E46" s="303">
        <f t="shared" si="12"/>
        <v>0</v>
      </c>
      <c r="F46" s="308">
        <f t="shared" si="12"/>
        <v>0</v>
      </c>
      <c r="G46" s="302">
        <f t="shared" si="12"/>
        <v>0</v>
      </c>
      <c r="H46" s="303">
        <f t="shared" si="12"/>
        <v>0</v>
      </c>
      <c r="I46" s="308">
        <f t="shared" si="12"/>
        <v>0</v>
      </c>
      <c r="J46" s="308">
        <f t="shared" si="12"/>
        <v>0</v>
      </c>
      <c r="K46" s="309">
        <f t="shared" si="5"/>
        <v>0</v>
      </c>
      <c r="L46" s="308">
        <f t="shared" si="6"/>
        <v>690</v>
      </c>
      <c r="M46" s="326">
        <f>Données!AE46</f>
        <v>0</v>
      </c>
      <c r="N46" s="308">
        <v>0</v>
      </c>
      <c r="O46" s="303">
        <f t="shared" si="2"/>
        <v>345</v>
      </c>
      <c r="P46" s="308">
        <f t="shared" si="7"/>
        <v>690</v>
      </c>
      <c r="Q46" s="309">
        <f t="shared" si="3"/>
        <v>10377.001485722483</v>
      </c>
      <c r="R46" s="308">
        <f t="shared" si="8"/>
        <v>22735.457049017416</v>
      </c>
      <c r="S46" s="302">
        <f t="shared" si="9"/>
        <v>16904.437351559613</v>
      </c>
      <c r="T46" s="303">
        <f t="shared" si="10"/>
        <v>0</v>
      </c>
      <c r="U46" s="327">
        <f t="shared" si="11"/>
        <v>50016.895886299506</v>
      </c>
    </row>
    <row r="47" spans="1:21" x14ac:dyDescent="0.25">
      <c r="A47" s="111">
        <f>Données!A47</f>
        <v>5477</v>
      </c>
      <c r="B47" s="112" t="str">
        <f>Données!B47</f>
        <v>Cossonay</v>
      </c>
      <c r="C47" s="307">
        <f>Données!C47</f>
        <v>4974</v>
      </c>
      <c r="D47" s="303">
        <f t="shared" si="4"/>
        <v>1000</v>
      </c>
      <c r="E47" s="303">
        <f t="shared" si="12"/>
        <v>2000</v>
      </c>
      <c r="F47" s="308">
        <f t="shared" si="12"/>
        <v>1974</v>
      </c>
      <c r="G47" s="302">
        <f t="shared" si="12"/>
        <v>0</v>
      </c>
      <c r="H47" s="303">
        <f t="shared" si="12"/>
        <v>0</v>
      </c>
      <c r="I47" s="308">
        <f t="shared" si="12"/>
        <v>0</v>
      </c>
      <c r="J47" s="308">
        <f t="shared" si="12"/>
        <v>0</v>
      </c>
      <c r="K47" s="309">
        <f t="shared" si="5"/>
        <v>0</v>
      </c>
      <c r="L47" s="308">
        <f t="shared" si="6"/>
        <v>14909</v>
      </c>
      <c r="M47" s="326">
        <f>Données!AE47</f>
        <v>0</v>
      </c>
      <c r="N47" s="308">
        <v>0</v>
      </c>
      <c r="O47" s="303">
        <f t="shared" si="2"/>
        <v>4974</v>
      </c>
      <c r="P47" s="308">
        <f t="shared" si="7"/>
        <v>14909</v>
      </c>
      <c r="Q47" s="309">
        <f t="shared" si="3"/>
        <v>149609.29098545981</v>
      </c>
      <c r="R47" s="308">
        <f t="shared" si="8"/>
        <v>327785.98075887718</v>
      </c>
      <c r="S47" s="302">
        <f t="shared" si="9"/>
        <v>365258.34271652508</v>
      </c>
      <c r="T47" s="303">
        <f t="shared" si="10"/>
        <v>0</v>
      </c>
      <c r="U47" s="327">
        <f t="shared" si="11"/>
        <v>842653.61446086201</v>
      </c>
    </row>
    <row r="48" spans="1:21" x14ac:dyDescent="0.25">
      <c r="A48" s="111">
        <f>Données!A48</f>
        <v>5479</v>
      </c>
      <c r="B48" s="112" t="str">
        <f>Données!B48</f>
        <v>Cuarnens</v>
      </c>
      <c r="C48" s="307">
        <f>Données!C48</f>
        <v>557</v>
      </c>
      <c r="D48" s="303">
        <f t="shared" si="4"/>
        <v>557</v>
      </c>
      <c r="E48" s="303">
        <f t="shared" si="12"/>
        <v>0</v>
      </c>
      <c r="F48" s="308">
        <f t="shared" si="12"/>
        <v>0</v>
      </c>
      <c r="G48" s="302">
        <f t="shared" si="12"/>
        <v>0</v>
      </c>
      <c r="H48" s="303">
        <f t="shared" si="12"/>
        <v>0</v>
      </c>
      <c r="I48" s="308">
        <f t="shared" si="12"/>
        <v>0</v>
      </c>
      <c r="J48" s="308">
        <f t="shared" si="12"/>
        <v>0</v>
      </c>
      <c r="K48" s="309">
        <f t="shared" si="5"/>
        <v>0</v>
      </c>
      <c r="L48" s="308">
        <f t="shared" si="6"/>
        <v>1114</v>
      </c>
      <c r="M48" s="326">
        <f>Données!AE48</f>
        <v>0</v>
      </c>
      <c r="N48" s="308">
        <v>0</v>
      </c>
      <c r="O48" s="303">
        <f t="shared" si="2"/>
        <v>557</v>
      </c>
      <c r="P48" s="308">
        <f t="shared" si="7"/>
        <v>1114</v>
      </c>
      <c r="Q48" s="309">
        <f t="shared" si="3"/>
        <v>16753.593703036011</v>
      </c>
      <c r="R48" s="308">
        <f t="shared" si="8"/>
        <v>36706.230655949861</v>
      </c>
      <c r="S48" s="302">
        <f t="shared" si="9"/>
        <v>27292.091608170158</v>
      </c>
      <c r="T48" s="303">
        <f t="shared" si="10"/>
        <v>0</v>
      </c>
      <c r="U48" s="327">
        <f t="shared" si="11"/>
        <v>80751.915967156034</v>
      </c>
    </row>
    <row r="49" spans="1:21" x14ac:dyDescent="0.25">
      <c r="A49" s="111">
        <f>Données!A49</f>
        <v>5480</v>
      </c>
      <c r="B49" s="112" t="str">
        <f>Données!B49</f>
        <v>Daillens</v>
      </c>
      <c r="C49" s="307">
        <f>Données!C49</f>
        <v>1113</v>
      </c>
      <c r="D49" s="303">
        <f t="shared" si="4"/>
        <v>1000</v>
      </c>
      <c r="E49" s="303">
        <f t="shared" si="12"/>
        <v>113</v>
      </c>
      <c r="F49" s="308">
        <f t="shared" si="12"/>
        <v>0</v>
      </c>
      <c r="G49" s="302">
        <f t="shared" si="12"/>
        <v>0</v>
      </c>
      <c r="H49" s="303">
        <f t="shared" si="12"/>
        <v>0</v>
      </c>
      <c r="I49" s="308">
        <f t="shared" si="12"/>
        <v>0</v>
      </c>
      <c r="J49" s="308">
        <f t="shared" si="12"/>
        <v>0</v>
      </c>
      <c r="K49" s="309">
        <f t="shared" si="5"/>
        <v>0</v>
      </c>
      <c r="L49" s="308">
        <f t="shared" si="6"/>
        <v>2339</v>
      </c>
      <c r="M49" s="326">
        <f>Données!AE49</f>
        <v>0</v>
      </c>
      <c r="N49" s="308">
        <v>0</v>
      </c>
      <c r="O49" s="303">
        <f t="shared" si="2"/>
        <v>1113</v>
      </c>
      <c r="P49" s="308">
        <f t="shared" si="7"/>
        <v>2339</v>
      </c>
      <c r="Q49" s="309">
        <f t="shared" si="3"/>
        <v>33477.109140896013</v>
      </c>
      <c r="R49" s="308">
        <f t="shared" si="8"/>
        <v>73346.561436395321</v>
      </c>
      <c r="S49" s="302">
        <f t="shared" si="9"/>
        <v>57303.592703330345</v>
      </c>
      <c r="T49" s="303">
        <f t="shared" si="10"/>
        <v>0</v>
      </c>
      <c r="U49" s="327">
        <f t="shared" si="11"/>
        <v>164127.26328062167</v>
      </c>
    </row>
    <row r="50" spans="1:21" x14ac:dyDescent="0.25">
      <c r="A50" s="111">
        <f>Données!A50</f>
        <v>5481</v>
      </c>
      <c r="B50" s="112" t="str">
        <f>Données!B50</f>
        <v>Dizy</v>
      </c>
      <c r="C50" s="307">
        <f>Données!C50</f>
        <v>239</v>
      </c>
      <c r="D50" s="303">
        <f t="shared" si="4"/>
        <v>239</v>
      </c>
      <c r="E50" s="303">
        <f t="shared" si="12"/>
        <v>0</v>
      </c>
      <c r="F50" s="308">
        <f t="shared" si="12"/>
        <v>0</v>
      </c>
      <c r="G50" s="302">
        <f t="shared" si="12"/>
        <v>0</v>
      </c>
      <c r="H50" s="303">
        <f t="shared" si="12"/>
        <v>0</v>
      </c>
      <c r="I50" s="308">
        <f t="shared" si="12"/>
        <v>0</v>
      </c>
      <c r="J50" s="308">
        <f t="shared" si="12"/>
        <v>0</v>
      </c>
      <c r="K50" s="309">
        <f t="shared" si="5"/>
        <v>0</v>
      </c>
      <c r="L50" s="308">
        <f t="shared" si="6"/>
        <v>478</v>
      </c>
      <c r="M50" s="326">
        <f>Données!AE50</f>
        <v>0</v>
      </c>
      <c r="N50" s="308">
        <v>0</v>
      </c>
      <c r="O50" s="303">
        <f t="shared" si="2"/>
        <v>239</v>
      </c>
      <c r="P50" s="308">
        <f t="shared" si="7"/>
        <v>478</v>
      </c>
      <c r="Q50" s="309">
        <f t="shared" si="3"/>
        <v>7188.7053770657212</v>
      </c>
      <c r="R50" s="308">
        <f t="shared" si="8"/>
        <v>15750.070245551196</v>
      </c>
      <c r="S50" s="302">
        <f t="shared" si="9"/>
        <v>11710.610223254342</v>
      </c>
      <c r="T50" s="303">
        <f t="shared" si="10"/>
        <v>0</v>
      </c>
      <c r="U50" s="327">
        <f t="shared" si="11"/>
        <v>34649.385845871264</v>
      </c>
    </row>
    <row r="51" spans="1:21" x14ac:dyDescent="0.25">
      <c r="A51" s="111">
        <f>Données!A51</f>
        <v>5482</v>
      </c>
      <c r="B51" s="112" t="str">
        <f>Données!B51</f>
        <v>Eclépens</v>
      </c>
      <c r="C51" s="307">
        <f>Données!C51</f>
        <v>1202</v>
      </c>
      <c r="D51" s="303">
        <f t="shared" si="4"/>
        <v>1000</v>
      </c>
      <c r="E51" s="303">
        <f t="shared" si="12"/>
        <v>202</v>
      </c>
      <c r="F51" s="308">
        <f t="shared" si="12"/>
        <v>0</v>
      </c>
      <c r="G51" s="302">
        <f t="shared" si="12"/>
        <v>0</v>
      </c>
      <c r="H51" s="303">
        <f t="shared" si="12"/>
        <v>0</v>
      </c>
      <c r="I51" s="308">
        <f t="shared" si="12"/>
        <v>0</v>
      </c>
      <c r="J51" s="308">
        <f t="shared" si="12"/>
        <v>0</v>
      </c>
      <c r="K51" s="309">
        <f t="shared" si="5"/>
        <v>0</v>
      </c>
      <c r="L51" s="308">
        <f t="shared" si="6"/>
        <v>2606</v>
      </c>
      <c r="M51" s="326">
        <f>Données!AE51</f>
        <v>0</v>
      </c>
      <c r="N51" s="308">
        <v>0</v>
      </c>
      <c r="O51" s="303">
        <f t="shared" si="2"/>
        <v>1202</v>
      </c>
      <c r="P51" s="308">
        <f t="shared" si="7"/>
        <v>2606</v>
      </c>
      <c r="Q51" s="309">
        <f t="shared" si="3"/>
        <v>36154.074741560653</v>
      </c>
      <c r="R51" s="308">
        <f t="shared" si="8"/>
        <v>79211.650356286773</v>
      </c>
      <c r="S51" s="302">
        <f t="shared" si="9"/>
        <v>63844.874982846894</v>
      </c>
      <c r="T51" s="303">
        <f t="shared" si="10"/>
        <v>0</v>
      </c>
      <c r="U51" s="327">
        <f t="shared" si="11"/>
        <v>179210.60008069433</v>
      </c>
    </row>
    <row r="52" spans="1:21" x14ac:dyDescent="0.25">
      <c r="A52" s="111">
        <f>Données!A52</f>
        <v>5483</v>
      </c>
      <c r="B52" s="112" t="str">
        <f>Données!B52</f>
        <v>Ferreyres</v>
      </c>
      <c r="C52" s="307">
        <f>Données!C52</f>
        <v>308</v>
      </c>
      <c r="D52" s="303">
        <f t="shared" si="4"/>
        <v>308</v>
      </c>
      <c r="E52" s="303">
        <f t="shared" si="12"/>
        <v>0</v>
      </c>
      <c r="F52" s="308">
        <f t="shared" si="12"/>
        <v>0</v>
      </c>
      <c r="G52" s="302">
        <f t="shared" si="12"/>
        <v>0</v>
      </c>
      <c r="H52" s="303">
        <f t="shared" si="12"/>
        <v>0</v>
      </c>
      <c r="I52" s="308">
        <f t="shared" si="12"/>
        <v>0</v>
      </c>
      <c r="J52" s="308">
        <f t="shared" si="12"/>
        <v>0</v>
      </c>
      <c r="K52" s="309">
        <f t="shared" si="5"/>
        <v>0</v>
      </c>
      <c r="L52" s="308">
        <f t="shared" si="6"/>
        <v>616</v>
      </c>
      <c r="M52" s="326">
        <f>Données!AE52</f>
        <v>0</v>
      </c>
      <c r="N52" s="308">
        <v>0</v>
      </c>
      <c r="O52" s="303">
        <f t="shared" si="2"/>
        <v>308</v>
      </c>
      <c r="P52" s="308">
        <f t="shared" si="7"/>
        <v>616</v>
      </c>
      <c r="Q52" s="309">
        <f t="shared" si="3"/>
        <v>9264.1056742102173</v>
      </c>
      <c r="R52" s="308">
        <f t="shared" si="8"/>
        <v>20297.161655354681</v>
      </c>
      <c r="S52" s="302">
        <f t="shared" si="9"/>
        <v>15091.497693566263</v>
      </c>
      <c r="T52" s="303">
        <f t="shared" si="10"/>
        <v>0</v>
      </c>
      <c r="U52" s="327">
        <f t="shared" si="11"/>
        <v>44652.765023131164</v>
      </c>
    </row>
    <row r="53" spans="1:21" x14ac:dyDescent="0.25">
      <c r="A53" s="111">
        <f>Données!A53</f>
        <v>5484</v>
      </c>
      <c r="B53" s="112" t="str">
        <f>Données!B53</f>
        <v>Gollion</v>
      </c>
      <c r="C53" s="307">
        <f>Données!C53</f>
        <v>1091</v>
      </c>
      <c r="D53" s="303">
        <f t="shared" si="4"/>
        <v>1000</v>
      </c>
      <c r="E53" s="303">
        <f t="shared" si="12"/>
        <v>91</v>
      </c>
      <c r="F53" s="308">
        <f t="shared" si="12"/>
        <v>0</v>
      </c>
      <c r="G53" s="302">
        <f t="shared" si="12"/>
        <v>0</v>
      </c>
      <c r="H53" s="303">
        <f t="shared" si="12"/>
        <v>0</v>
      </c>
      <c r="I53" s="308">
        <f t="shared" si="12"/>
        <v>0</v>
      </c>
      <c r="J53" s="308">
        <f t="shared" si="12"/>
        <v>0</v>
      </c>
      <c r="K53" s="309">
        <f t="shared" si="5"/>
        <v>0</v>
      </c>
      <c r="L53" s="308">
        <f t="shared" si="6"/>
        <v>2273</v>
      </c>
      <c r="M53" s="326">
        <f>Données!AE53</f>
        <v>0</v>
      </c>
      <c r="N53" s="308">
        <v>0</v>
      </c>
      <c r="O53" s="303">
        <f t="shared" si="2"/>
        <v>1091</v>
      </c>
      <c r="P53" s="308">
        <f t="shared" si="7"/>
        <v>2273</v>
      </c>
      <c r="Q53" s="309">
        <f t="shared" si="3"/>
        <v>32815.387307023855</v>
      </c>
      <c r="R53" s="308">
        <f t="shared" si="8"/>
        <v>71896.764175298551</v>
      </c>
      <c r="S53" s="302">
        <f t="shared" si="9"/>
        <v>55686.646521876813</v>
      </c>
      <c r="T53" s="303">
        <f t="shared" si="10"/>
        <v>0</v>
      </c>
      <c r="U53" s="327">
        <f t="shared" si="11"/>
        <v>160398.79800419923</v>
      </c>
    </row>
    <row r="54" spans="1:21" x14ac:dyDescent="0.25">
      <c r="A54" s="111">
        <f>Données!A54</f>
        <v>5485</v>
      </c>
      <c r="B54" s="112" t="str">
        <f>Données!B54</f>
        <v>Grancy</v>
      </c>
      <c r="C54" s="307">
        <f>Données!C54</f>
        <v>541</v>
      </c>
      <c r="D54" s="303">
        <f t="shared" si="4"/>
        <v>541</v>
      </c>
      <c r="E54" s="303">
        <f t="shared" si="12"/>
        <v>0</v>
      </c>
      <c r="F54" s="308">
        <f t="shared" si="12"/>
        <v>0</v>
      </c>
      <c r="G54" s="302">
        <f t="shared" si="12"/>
        <v>0</v>
      </c>
      <c r="H54" s="303">
        <f t="shared" si="12"/>
        <v>0</v>
      </c>
      <c r="I54" s="308">
        <f t="shared" si="12"/>
        <v>0</v>
      </c>
      <c r="J54" s="308">
        <f t="shared" si="12"/>
        <v>0</v>
      </c>
      <c r="K54" s="309">
        <f t="shared" si="5"/>
        <v>0</v>
      </c>
      <c r="L54" s="308">
        <f t="shared" si="6"/>
        <v>1082</v>
      </c>
      <c r="M54" s="326">
        <f>Données!AE54</f>
        <v>0</v>
      </c>
      <c r="N54" s="308">
        <v>0</v>
      </c>
      <c r="O54" s="303">
        <f t="shared" si="2"/>
        <v>541</v>
      </c>
      <c r="P54" s="308">
        <f t="shared" si="7"/>
        <v>1082</v>
      </c>
      <c r="Q54" s="309">
        <f t="shared" si="3"/>
        <v>16272.341460219895</v>
      </c>
      <c r="R54" s="308">
        <f t="shared" si="8"/>
        <v>35651.832647879484</v>
      </c>
      <c r="S54" s="302">
        <f t="shared" si="9"/>
        <v>26508.117702010873</v>
      </c>
      <c r="T54" s="303">
        <f t="shared" si="10"/>
        <v>0</v>
      </c>
      <c r="U54" s="327">
        <f t="shared" si="11"/>
        <v>78432.291810110255</v>
      </c>
    </row>
    <row r="55" spans="1:21" x14ac:dyDescent="0.25">
      <c r="A55" s="111">
        <f>Données!A55</f>
        <v>5486</v>
      </c>
      <c r="B55" s="112" t="str">
        <f>Données!B55</f>
        <v>L'Isle</v>
      </c>
      <c r="C55" s="307">
        <f>Données!C55</f>
        <v>1106</v>
      </c>
      <c r="D55" s="303">
        <f t="shared" si="4"/>
        <v>1000</v>
      </c>
      <c r="E55" s="303">
        <f t="shared" si="12"/>
        <v>106</v>
      </c>
      <c r="F55" s="308">
        <f t="shared" si="12"/>
        <v>0</v>
      </c>
      <c r="G55" s="302">
        <f t="shared" si="12"/>
        <v>0</v>
      </c>
      <c r="H55" s="303">
        <f t="shared" si="12"/>
        <v>0</v>
      </c>
      <c r="I55" s="308">
        <f t="shared" si="12"/>
        <v>0</v>
      </c>
      <c r="J55" s="308">
        <f t="shared" si="12"/>
        <v>0</v>
      </c>
      <c r="K55" s="309">
        <f t="shared" si="5"/>
        <v>0</v>
      </c>
      <c r="L55" s="308">
        <f t="shared" si="6"/>
        <v>2318</v>
      </c>
      <c r="M55" s="326">
        <f>Données!AE55</f>
        <v>0</v>
      </c>
      <c r="N55" s="308">
        <v>0</v>
      </c>
      <c r="O55" s="303">
        <f t="shared" si="2"/>
        <v>1106</v>
      </c>
      <c r="P55" s="308">
        <f t="shared" si="7"/>
        <v>2318</v>
      </c>
      <c r="Q55" s="309">
        <f t="shared" si="3"/>
        <v>33266.561284663963</v>
      </c>
      <c r="R55" s="308">
        <f t="shared" si="8"/>
        <v>72885.262307864527</v>
      </c>
      <c r="S55" s="302">
        <f t="shared" si="9"/>
        <v>56789.109827413311</v>
      </c>
      <c r="T55" s="303">
        <f t="shared" si="10"/>
        <v>0</v>
      </c>
      <c r="U55" s="327">
        <f t="shared" si="11"/>
        <v>162940.93341994181</v>
      </c>
    </row>
    <row r="56" spans="1:21" x14ac:dyDescent="0.25">
      <c r="A56" s="111">
        <f>Données!A56</f>
        <v>5487</v>
      </c>
      <c r="B56" s="112" t="str">
        <f>Données!B56</f>
        <v>Lussery-Villars</v>
      </c>
      <c r="C56" s="307">
        <f>Données!C56</f>
        <v>469</v>
      </c>
      <c r="D56" s="303">
        <f t="shared" si="4"/>
        <v>469</v>
      </c>
      <c r="E56" s="303">
        <f t="shared" si="12"/>
        <v>0</v>
      </c>
      <c r="F56" s="308">
        <f t="shared" si="12"/>
        <v>0</v>
      </c>
      <c r="G56" s="302">
        <f t="shared" si="12"/>
        <v>0</v>
      </c>
      <c r="H56" s="303">
        <f t="shared" si="12"/>
        <v>0</v>
      </c>
      <c r="I56" s="308">
        <f t="shared" si="12"/>
        <v>0</v>
      </c>
      <c r="J56" s="308">
        <f t="shared" si="12"/>
        <v>0</v>
      </c>
      <c r="K56" s="309">
        <f t="shared" si="5"/>
        <v>0</v>
      </c>
      <c r="L56" s="308">
        <f t="shared" si="6"/>
        <v>938</v>
      </c>
      <c r="M56" s="326">
        <f>Données!AE56</f>
        <v>0</v>
      </c>
      <c r="N56" s="308">
        <v>0</v>
      </c>
      <c r="O56" s="303">
        <f t="shared" si="2"/>
        <v>469</v>
      </c>
      <c r="P56" s="308">
        <f t="shared" si="7"/>
        <v>938</v>
      </c>
      <c r="Q56" s="309">
        <f t="shared" si="3"/>
        <v>14106.706367547376</v>
      </c>
      <c r="R56" s="308">
        <f t="shared" si="8"/>
        <v>30907.041611562807</v>
      </c>
      <c r="S56" s="302">
        <f t="shared" si="9"/>
        <v>22980.235124294086</v>
      </c>
      <c r="T56" s="303">
        <f t="shared" si="10"/>
        <v>0</v>
      </c>
      <c r="U56" s="327">
        <f t="shared" si="11"/>
        <v>67993.983103404258</v>
      </c>
    </row>
    <row r="57" spans="1:21" x14ac:dyDescent="0.25">
      <c r="A57" s="111">
        <f>Données!A57</f>
        <v>5488</v>
      </c>
      <c r="B57" s="112" t="str">
        <f>Données!B57</f>
        <v>Mauraz</v>
      </c>
      <c r="C57" s="307">
        <f>Données!C57</f>
        <v>74</v>
      </c>
      <c r="D57" s="303">
        <f t="shared" si="4"/>
        <v>74</v>
      </c>
      <c r="E57" s="303">
        <f t="shared" si="12"/>
        <v>0</v>
      </c>
      <c r="F57" s="308">
        <f t="shared" si="12"/>
        <v>0</v>
      </c>
      <c r="G57" s="302">
        <f t="shared" si="12"/>
        <v>0</v>
      </c>
      <c r="H57" s="303">
        <f t="shared" si="12"/>
        <v>0</v>
      </c>
      <c r="I57" s="308">
        <f t="shared" si="12"/>
        <v>0</v>
      </c>
      <c r="J57" s="308">
        <f t="shared" si="12"/>
        <v>0</v>
      </c>
      <c r="K57" s="309">
        <f t="shared" si="5"/>
        <v>0</v>
      </c>
      <c r="L57" s="308">
        <f t="shared" si="6"/>
        <v>148</v>
      </c>
      <c r="M57" s="326">
        <f>Données!AE57</f>
        <v>0</v>
      </c>
      <c r="N57" s="308">
        <v>0</v>
      </c>
      <c r="O57" s="303">
        <f t="shared" si="2"/>
        <v>74</v>
      </c>
      <c r="P57" s="308">
        <f t="shared" si="7"/>
        <v>148</v>
      </c>
      <c r="Q57" s="309">
        <f t="shared" si="3"/>
        <v>2225.7916230245328</v>
      </c>
      <c r="R57" s="308">
        <f t="shared" si="8"/>
        <v>4876.5907873254746</v>
      </c>
      <c r="S57" s="302">
        <f t="shared" si="9"/>
        <v>3625.8793159867</v>
      </c>
      <c r="T57" s="303">
        <f t="shared" si="10"/>
        <v>0</v>
      </c>
      <c r="U57" s="327">
        <f t="shared" si="11"/>
        <v>10728.261726336706</v>
      </c>
    </row>
    <row r="58" spans="1:21" x14ac:dyDescent="0.25">
      <c r="A58" s="111">
        <f>Données!A58</f>
        <v>5489</v>
      </c>
      <c r="B58" s="112" t="str">
        <f>Données!B58</f>
        <v>Mex</v>
      </c>
      <c r="C58" s="307">
        <f>Données!C58</f>
        <v>828</v>
      </c>
      <c r="D58" s="303">
        <f t="shared" si="4"/>
        <v>828</v>
      </c>
      <c r="E58" s="303">
        <f t="shared" si="12"/>
        <v>0</v>
      </c>
      <c r="F58" s="308">
        <f t="shared" si="12"/>
        <v>0</v>
      </c>
      <c r="G58" s="302">
        <f t="shared" si="12"/>
        <v>0</v>
      </c>
      <c r="H58" s="303">
        <f t="shared" si="12"/>
        <v>0</v>
      </c>
      <c r="I58" s="308">
        <f t="shared" si="12"/>
        <v>0</v>
      </c>
      <c r="J58" s="308">
        <f t="shared" si="12"/>
        <v>0</v>
      </c>
      <c r="K58" s="309">
        <f t="shared" si="5"/>
        <v>0</v>
      </c>
      <c r="L58" s="308">
        <f t="shared" si="6"/>
        <v>1656</v>
      </c>
      <c r="M58" s="326">
        <f>Données!AE58</f>
        <v>0</v>
      </c>
      <c r="N58" s="308">
        <v>0</v>
      </c>
      <c r="O58" s="303">
        <f t="shared" si="2"/>
        <v>828</v>
      </c>
      <c r="P58" s="308">
        <f t="shared" si="7"/>
        <v>1656</v>
      </c>
      <c r="Q58" s="309">
        <f t="shared" si="3"/>
        <v>24904.803565733961</v>
      </c>
      <c r="R58" s="308">
        <f t="shared" si="8"/>
        <v>54565.0969176418</v>
      </c>
      <c r="S58" s="302">
        <f t="shared" si="9"/>
        <v>40570.649643743076</v>
      </c>
      <c r="T58" s="303">
        <f t="shared" si="10"/>
        <v>0</v>
      </c>
      <c r="U58" s="327">
        <f t="shared" si="11"/>
        <v>120040.55012711884</v>
      </c>
    </row>
    <row r="59" spans="1:21" x14ac:dyDescent="0.25">
      <c r="A59" s="111">
        <f>Données!A59</f>
        <v>5490</v>
      </c>
      <c r="B59" s="112" t="str">
        <f>Données!B59</f>
        <v>Moiry</v>
      </c>
      <c r="C59" s="307">
        <f>Données!C59</f>
        <v>295</v>
      </c>
      <c r="D59" s="303">
        <f t="shared" si="4"/>
        <v>295</v>
      </c>
      <c r="E59" s="303">
        <f t="shared" si="12"/>
        <v>0</v>
      </c>
      <c r="F59" s="308">
        <f t="shared" si="12"/>
        <v>0</v>
      </c>
      <c r="G59" s="302">
        <f t="shared" si="12"/>
        <v>0</v>
      </c>
      <c r="H59" s="303">
        <f t="shared" si="12"/>
        <v>0</v>
      </c>
      <c r="I59" s="308">
        <f t="shared" si="12"/>
        <v>0</v>
      </c>
      <c r="J59" s="308">
        <f t="shared" si="12"/>
        <v>0</v>
      </c>
      <c r="K59" s="309">
        <f t="shared" si="5"/>
        <v>0</v>
      </c>
      <c r="L59" s="308">
        <f t="shared" si="6"/>
        <v>590</v>
      </c>
      <c r="M59" s="326">
        <f>Données!AE59</f>
        <v>0</v>
      </c>
      <c r="N59" s="308">
        <v>0</v>
      </c>
      <c r="O59" s="303">
        <f t="shared" si="2"/>
        <v>295</v>
      </c>
      <c r="P59" s="308">
        <f t="shared" si="7"/>
        <v>590</v>
      </c>
      <c r="Q59" s="309">
        <f t="shared" si="3"/>
        <v>8873.0882269221238</v>
      </c>
      <c r="R59" s="308">
        <f t="shared" si="8"/>
        <v>19440.463273797501</v>
      </c>
      <c r="S59" s="302">
        <f t="shared" si="9"/>
        <v>14454.518894811845</v>
      </c>
      <c r="T59" s="303">
        <f t="shared" si="10"/>
        <v>0</v>
      </c>
      <c r="U59" s="327">
        <f t="shared" si="11"/>
        <v>42768.070395531468</v>
      </c>
    </row>
    <row r="60" spans="1:21" x14ac:dyDescent="0.25">
      <c r="A60" s="111">
        <f>Données!A60</f>
        <v>5491</v>
      </c>
      <c r="B60" s="112" t="str">
        <f>Données!B60</f>
        <v>Mont-la-Ville</v>
      </c>
      <c r="C60" s="307">
        <f>Données!C60</f>
        <v>504</v>
      </c>
      <c r="D60" s="303">
        <f t="shared" si="4"/>
        <v>504</v>
      </c>
      <c r="E60" s="303">
        <f t="shared" si="12"/>
        <v>0</v>
      </c>
      <c r="F60" s="308">
        <f t="shared" si="12"/>
        <v>0</v>
      </c>
      <c r="G60" s="302">
        <f t="shared" si="12"/>
        <v>0</v>
      </c>
      <c r="H60" s="303">
        <f t="shared" si="12"/>
        <v>0</v>
      </c>
      <c r="I60" s="308">
        <f t="shared" si="12"/>
        <v>0</v>
      </c>
      <c r="J60" s="308">
        <f t="shared" si="12"/>
        <v>0</v>
      </c>
      <c r="K60" s="309">
        <f t="shared" si="5"/>
        <v>0</v>
      </c>
      <c r="L60" s="308">
        <f t="shared" si="6"/>
        <v>1008</v>
      </c>
      <c r="M60" s="326">
        <f>Données!AE60</f>
        <v>0</v>
      </c>
      <c r="N60" s="308">
        <v>0</v>
      </c>
      <c r="O60" s="303">
        <f t="shared" si="2"/>
        <v>504</v>
      </c>
      <c r="P60" s="308">
        <f t="shared" si="7"/>
        <v>1008</v>
      </c>
      <c r="Q60" s="309">
        <f t="shared" si="3"/>
        <v>15159.44564870763</v>
      </c>
      <c r="R60" s="308">
        <f t="shared" si="8"/>
        <v>33213.537254216746</v>
      </c>
      <c r="S60" s="302">
        <f t="shared" si="9"/>
        <v>24695.178044017524</v>
      </c>
      <c r="T60" s="303">
        <f t="shared" si="10"/>
        <v>0</v>
      </c>
      <c r="U60" s="327">
        <f t="shared" si="11"/>
        <v>73068.160946941905</v>
      </c>
    </row>
    <row r="61" spans="1:21" x14ac:dyDescent="0.25">
      <c r="A61" s="111">
        <f>Données!A61</f>
        <v>5492</v>
      </c>
      <c r="B61" s="112" t="str">
        <f>Données!B61</f>
        <v>Montricher</v>
      </c>
      <c r="C61" s="307">
        <f>Données!C61</f>
        <v>947</v>
      </c>
      <c r="D61" s="303">
        <f t="shared" si="4"/>
        <v>947</v>
      </c>
      <c r="E61" s="303">
        <f t="shared" si="12"/>
        <v>0</v>
      </c>
      <c r="F61" s="308">
        <f t="shared" si="12"/>
        <v>0</v>
      </c>
      <c r="G61" s="302">
        <f t="shared" si="12"/>
        <v>0</v>
      </c>
      <c r="H61" s="303">
        <f t="shared" si="12"/>
        <v>0</v>
      </c>
      <c r="I61" s="308">
        <f t="shared" si="12"/>
        <v>0</v>
      </c>
      <c r="J61" s="308">
        <f t="shared" si="12"/>
        <v>0</v>
      </c>
      <c r="K61" s="309">
        <f t="shared" si="5"/>
        <v>0</v>
      </c>
      <c r="L61" s="308">
        <f t="shared" si="6"/>
        <v>1894</v>
      </c>
      <c r="M61" s="326">
        <f>Données!AE61</f>
        <v>0</v>
      </c>
      <c r="N61" s="308">
        <v>0</v>
      </c>
      <c r="O61" s="303">
        <f t="shared" si="2"/>
        <v>947</v>
      </c>
      <c r="P61" s="308">
        <f t="shared" si="7"/>
        <v>1894</v>
      </c>
      <c r="Q61" s="309">
        <f t="shared" si="3"/>
        <v>28484.117121678817</v>
      </c>
      <c r="R61" s="308">
        <f t="shared" si="8"/>
        <v>62407.182102665196</v>
      </c>
      <c r="S61" s="302">
        <f t="shared" si="9"/>
        <v>46401.455570802769</v>
      </c>
      <c r="T61" s="303">
        <f t="shared" si="10"/>
        <v>0</v>
      </c>
      <c r="U61" s="327">
        <f t="shared" si="11"/>
        <v>137292.75479514679</v>
      </c>
    </row>
    <row r="62" spans="1:21" x14ac:dyDescent="0.25">
      <c r="A62" s="111">
        <f>Données!A62</f>
        <v>5493</v>
      </c>
      <c r="B62" s="112" t="str">
        <f>Données!B62</f>
        <v>Orny</v>
      </c>
      <c r="C62" s="307">
        <f>Données!C62</f>
        <v>525</v>
      </c>
      <c r="D62" s="303">
        <f t="shared" si="4"/>
        <v>525</v>
      </c>
      <c r="E62" s="303">
        <f t="shared" si="12"/>
        <v>0</v>
      </c>
      <c r="F62" s="308">
        <f t="shared" si="12"/>
        <v>0</v>
      </c>
      <c r="G62" s="302">
        <f t="shared" si="12"/>
        <v>0</v>
      </c>
      <c r="H62" s="303">
        <f t="shared" si="12"/>
        <v>0</v>
      </c>
      <c r="I62" s="308">
        <f t="shared" si="12"/>
        <v>0</v>
      </c>
      <c r="J62" s="308">
        <f t="shared" si="12"/>
        <v>0</v>
      </c>
      <c r="K62" s="309">
        <f t="shared" si="5"/>
        <v>0</v>
      </c>
      <c r="L62" s="308">
        <f t="shared" si="6"/>
        <v>1050</v>
      </c>
      <c r="M62" s="326">
        <f>Données!AE62</f>
        <v>0</v>
      </c>
      <c r="N62" s="308">
        <v>0</v>
      </c>
      <c r="O62" s="303">
        <f t="shared" si="2"/>
        <v>525</v>
      </c>
      <c r="P62" s="308">
        <f t="shared" si="7"/>
        <v>1050</v>
      </c>
      <c r="Q62" s="309">
        <f t="shared" si="3"/>
        <v>15791.08921740378</v>
      </c>
      <c r="R62" s="308">
        <f t="shared" si="8"/>
        <v>34597.434639809115</v>
      </c>
      <c r="S62" s="302">
        <f t="shared" si="9"/>
        <v>25724.143795851585</v>
      </c>
      <c r="T62" s="303">
        <f t="shared" si="10"/>
        <v>0</v>
      </c>
      <c r="U62" s="327">
        <f t="shared" si="11"/>
        <v>76112.667653064476</v>
      </c>
    </row>
    <row r="63" spans="1:21" x14ac:dyDescent="0.25">
      <c r="A63" s="111">
        <f>Données!A63</f>
        <v>5495</v>
      </c>
      <c r="B63" s="112" t="str">
        <f>Données!B63</f>
        <v>Penthalaz</v>
      </c>
      <c r="C63" s="307">
        <f>Données!C63</f>
        <v>3199</v>
      </c>
      <c r="D63" s="303">
        <f t="shared" si="4"/>
        <v>1000</v>
      </c>
      <c r="E63" s="303">
        <f t="shared" si="12"/>
        <v>2000</v>
      </c>
      <c r="F63" s="308">
        <f t="shared" si="12"/>
        <v>199</v>
      </c>
      <c r="G63" s="302">
        <f t="shared" si="12"/>
        <v>0</v>
      </c>
      <c r="H63" s="303">
        <f t="shared" si="12"/>
        <v>0</v>
      </c>
      <c r="I63" s="308">
        <f t="shared" si="12"/>
        <v>0</v>
      </c>
      <c r="J63" s="308">
        <f t="shared" si="12"/>
        <v>0</v>
      </c>
      <c r="K63" s="309">
        <f t="shared" si="5"/>
        <v>0</v>
      </c>
      <c r="L63" s="308">
        <f t="shared" si="6"/>
        <v>8696.5</v>
      </c>
      <c r="M63" s="326">
        <f>Données!AE63</f>
        <v>0</v>
      </c>
      <c r="N63" s="308">
        <v>0</v>
      </c>
      <c r="O63" s="303">
        <f t="shared" si="2"/>
        <v>3199</v>
      </c>
      <c r="P63" s="308">
        <f t="shared" si="7"/>
        <v>8696.5</v>
      </c>
      <c r="Q63" s="309">
        <f t="shared" si="3"/>
        <v>96220.370298047026</v>
      </c>
      <c r="R63" s="308">
        <f t="shared" si="8"/>
        <v>210813.70173857021</v>
      </c>
      <c r="S63" s="302">
        <f t="shared" si="9"/>
        <v>213057.15859106983</v>
      </c>
      <c r="T63" s="303">
        <f t="shared" si="10"/>
        <v>0</v>
      </c>
      <c r="U63" s="327">
        <f t="shared" si="11"/>
        <v>520091.23062768707</v>
      </c>
    </row>
    <row r="64" spans="1:21" x14ac:dyDescent="0.25">
      <c r="A64" s="111">
        <f>Données!A64</f>
        <v>5496</v>
      </c>
      <c r="B64" s="112" t="str">
        <f>Données!B64</f>
        <v>Penthaz</v>
      </c>
      <c r="C64" s="307">
        <f>Données!C64</f>
        <v>1910</v>
      </c>
      <c r="D64" s="303">
        <f t="shared" si="4"/>
        <v>1000</v>
      </c>
      <c r="E64" s="303">
        <f t="shared" si="12"/>
        <v>910</v>
      </c>
      <c r="F64" s="308">
        <f t="shared" si="12"/>
        <v>0</v>
      </c>
      <c r="G64" s="302">
        <f t="shared" si="12"/>
        <v>0</v>
      </c>
      <c r="H64" s="303">
        <f t="shared" si="12"/>
        <v>0</v>
      </c>
      <c r="I64" s="308">
        <f t="shared" si="12"/>
        <v>0</v>
      </c>
      <c r="J64" s="308">
        <f t="shared" si="12"/>
        <v>0</v>
      </c>
      <c r="K64" s="309">
        <f t="shared" si="5"/>
        <v>0</v>
      </c>
      <c r="L64" s="308">
        <f t="shared" si="6"/>
        <v>4730</v>
      </c>
      <c r="M64" s="326">
        <f>Données!AE64</f>
        <v>0</v>
      </c>
      <c r="N64" s="308">
        <v>0</v>
      </c>
      <c r="O64" s="303">
        <f t="shared" si="2"/>
        <v>1910</v>
      </c>
      <c r="P64" s="308">
        <f t="shared" si="7"/>
        <v>4730</v>
      </c>
      <c r="Q64" s="309">
        <f t="shared" si="3"/>
        <v>57449.486486173751</v>
      </c>
      <c r="R64" s="308">
        <f t="shared" si="8"/>
        <v>125868.76221340077</v>
      </c>
      <c r="S64" s="302">
        <f t="shared" si="9"/>
        <v>115881.14300416953</v>
      </c>
      <c r="T64" s="303">
        <f t="shared" si="10"/>
        <v>0</v>
      </c>
      <c r="U64" s="327">
        <f t="shared" si="11"/>
        <v>299199.39170374407</v>
      </c>
    </row>
    <row r="65" spans="1:21" x14ac:dyDescent="0.25">
      <c r="A65" s="111">
        <f>Données!A65</f>
        <v>5497</v>
      </c>
      <c r="B65" s="112" t="str">
        <f>Données!B65</f>
        <v>Pompaples</v>
      </c>
      <c r="C65" s="307">
        <f>Données!C65</f>
        <v>917</v>
      </c>
      <c r="D65" s="303">
        <f t="shared" si="4"/>
        <v>917</v>
      </c>
      <c r="E65" s="303">
        <f t="shared" si="12"/>
        <v>0</v>
      </c>
      <c r="F65" s="308">
        <f t="shared" si="12"/>
        <v>0</v>
      </c>
      <c r="G65" s="302">
        <f t="shared" si="12"/>
        <v>0</v>
      </c>
      <c r="H65" s="303">
        <f t="shared" si="12"/>
        <v>0</v>
      </c>
      <c r="I65" s="308">
        <f t="shared" si="12"/>
        <v>0</v>
      </c>
      <c r="J65" s="308">
        <f t="shared" si="12"/>
        <v>0</v>
      </c>
      <c r="K65" s="309">
        <f t="shared" si="5"/>
        <v>0</v>
      </c>
      <c r="L65" s="308">
        <f t="shared" si="6"/>
        <v>1834</v>
      </c>
      <c r="M65" s="326">
        <f>Données!AE65</f>
        <v>0</v>
      </c>
      <c r="N65" s="308">
        <v>0</v>
      </c>
      <c r="O65" s="303">
        <f t="shared" si="2"/>
        <v>917</v>
      </c>
      <c r="P65" s="308">
        <f t="shared" si="7"/>
        <v>1834</v>
      </c>
      <c r="Q65" s="309">
        <f t="shared" si="3"/>
        <v>27581.769166398601</v>
      </c>
      <c r="R65" s="308">
        <f t="shared" si="8"/>
        <v>60430.185837533252</v>
      </c>
      <c r="S65" s="302">
        <f t="shared" si="9"/>
        <v>44931.504496754103</v>
      </c>
      <c r="T65" s="303">
        <f t="shared" si="10"/>
        <v>0</v>
      </c>
      <c r="U65" s="327">
        <f t="shared" si="11"/>
        <v>132943.45950068597</v>
      </c>
    </row>
    <row r="66" spans="1:21" x14ac:dyDescent="0.25">
      <c r="A66" s="111">
        <f>Données!A66</f>
        <v>5498</v>
      </c>
      <c r="B66" s="112" t="str">
        <f>Données!B66</f>
        <v>La Sarraz</v>
      </c>
      <c r="C66" s="307">
        <f>Données!C66</f>
        <v>2609</v>
      </c>
      <c r="D66" s="303">
        <f t="shared" si="4"/>
        <v>1000</v>
      </c>
      <c r="E66" s="303">
        <f t="shared" si="12"/>
        <v>1609</v>
      </c>
      <c r="F66" s="308">
        <f t="shared" si="12"/>
        <v>0</v>
      </c>
      <c r="G66" s="302">
        <f t="shared" si="12"/>
        <v>0</v>
      </c>
      <c r="H66" s="303">
        <f t="shared" ref="E66:J108" si="13">IF($C66&lt;H$4,0,IF($C66&gt;H$5,H$5-H$4,$C66-H$4))</f>
        <v>0</v>
      </c>
      <c r="I66" s="308">
        <f t="shared" si="13"/>
        <v>0</v>
      </c>
      <c r="J66" s="308">
        <f t="shared" si="13"/>
        <v>0</v>
      </c>
      <c r="K66" s="309">
        <f t="shared" si="5"/>
        <v>0</v>
      </c>
      <c r="L66" s="308">
        <f t="shared" si="6"/>
        <v>6827</v>
      </c>
      <c r="M66" s="326">
        <f>Données!AE66</f>
        <v>0</v>
      </c>
      <c r="N66" s="308">
        <v>0</v>
      </c>
      <c r="O66" s="303">
        <f t="shared" si="2"/>
        <v>2609</v>
      </c>
      <c r="P66" s="308">
        <f t="shared" si="7"/>
        <v>6827</v>
      </c>
      <c r="Q66" s="309">
        <f t="shared" si="3"/>
        <v>78474.193844202789</v>
      </c>
      <c r="R66" s="308">
        <f t="shared" si="8"/>
        <v>171932.7751909752</v>
      </c>
      <c r="S66" s="302">
        <f t="shared" si="9"/>
        <v>167255.93304217028</v>
      </c>
      <c r="T66" s="303">
        <f t="shared" si="10"/>
        <v>0</v>
      </c>
      <c r="U66" s="327">
        <f t="shared" si="11"/>
        <v>417662.90207734826</v>
      </c>
    </row>
    <row r="67" spans="1:21" x14ac:dyDescent="0.25">
      <c r="A67" s="111">
        <f>Données!A67</f>
        <v>5499</v>
      </c>
      <c r="B67" s="112" t="str">
        <f>Données!B67</f>
        <v>Senarclens</v>
      </c>
      <c r="C67" s="307">
        <f>Données!C67</f>
        <v>505</v>
      </c>
      <c r="D67" s="303">
        <f t="shared" si="4"/>
        <v>505</v>
      </c>
      <c r="E67" s="303">
        <f t="shared" si="13"/>
        <v>0</v>
      </c>
      <c r="F67" s="308">
        <f t="shared" si="13"/>
        <v>0</v>
      </c>
      <c r="G67" s="302">
        <f t="shared" si="13"/>
        <v>0</v>
      </c>
      <c r="H67" s="303">
        <f t="shared" si="13"/>
        <v>0</v>
      </c>
      <c r="I67" s="308">
        <f t="shared" si="13"/>
        <v>0</v>
      </c>
      <c r="J67" s="308">
        <f t="shared" si="13"/>
        <v>0</v>
      </c>
      <c r="K67" s="309">
        <f t="shared" si="5"/>
        <v>0</v>
      </c>
      <c r="L67" s="308">
        <f t="shared" si="6"/>
        <v>1010</v>
      </c>
      <c r="M67" s="326">
        <f>Données!AE67</f>
        <v>0</v>
      </c>
      <c r="N67" s="308">
        <v>0</v>
      </c>
      <c r="O67" s="303">
        <f t="shared" si="2"/>
        <v>505</v>
      </c>
      <c r="P67" s="308">
        <f t="shared" si="7"/>
        <v>1010</v>
      </c>
      <c r="Q67" s="309">
        <f t="shared" si="3"/>
        <v>15189.523913883637</v>
      </c>
      <c r="R67" s="308">
        <f t="shared" si="8"/>
        <v>33279.437129721147</v>
      </c>
      <c r="S67" s="302">
        <f t="shared" si="9"/>
        <v>24744.17641315248</v>
      </c>
      <c r="T67" s="303">
        <f t="shared" si="10"/>
        <v>0</v>
      </c>
      <c r="U67" s="327">
        <f t="shared" si="11"/>
        <v>73213.137456757264</v>
      </c>
    </row>
    <row r="68" spans="1:21" x14ac:dyDescent="0.25">
      <c r="A68" s="111">
        <f>Données!A68</f>
        <v>5501</v>
      </c>
      <c r="B68" s="112" t="str">
        <f>Données!B68</f>
        <v>Sullens</v>
      </c>
      <c r="C68" s="307">
        <f>Données!C68</f>
        <v>1282</v>
      </c>
      <c r="D68" s="303">
        <f t="shared" si="4"/>
        <v>1000</v>
      </c>
      <c r="E68" s="303">
        <f t="shared" si="13"/>
        <v>282</v>
      </c>
      <c r="F68" s="308">
        <f t="shared" si="13"/>
        <v>0</v>
      </c>
      <c r="G68" s="302">
        <f t="shared" si="13"/>
        <v>0</v>
      </c>
      <c r="H68" s="303">
        <f t="shared" si="13"/>
        <v>0</v>
      </c>
      <c r="I68" s="308">
        <f t="shared" si="13"/>
        <v>0</v>
      </c>
      <c r="J68" s="308">
        <f t="shared" si="13"/>
        <v>0</v>
      </c>
      <c r="K68" s="309">
        <f t="shared" si="5"/>
        <v>0</v>
      </c>
      <c r="L68" s="308">
        <f t="shared" si="6"/>
        <v>2846</v>
      </c>
      <c r="M68" s="326">
        <f>Données!AE68</f>
        <v>0</v>
      </c>
      <c r="N68" s="308">
        <v>0</v>
      </c>
      <c r="O68" s="303">
        <f t="shared" si="2"/>
        <v>1282</v>
      </c>
      <c r="P68" s="308">
        <f t="shared" si="7"/>
        <v>2846</v>
      </c>
      <c r="Q68" s="309">
        <f t="shared" si="3"/>
        <v>38560.335955641232</v>
      </c>
      <c r="R68" s="308">
        <f t="shared" si="8"/>
        <v>84483.640396638628</v>
      </c>
      <c r="S68" s="302">
        <f t="shared" si="9"/>
        <v>69724.679279041535</v>
      </c>
      <c r="T68" s="303">
        <f t="shared" si="10"/>
        <v>0</v>
      </c>
      <c r="U68" s="327">
        <f t="shared" si="11"/>
        <v>192768.6556313214</v>
      </c>
    </row>
    <row r="69" spans="1:21" x14ac:dyDescent="0.25">
      <c r="A69" s="111">
        <f>Données!A69</f>
        <v>5503</v>
      </c>
      <c r="B69" s="112" t="str">
        <f>Données!B69</f>
        <v>Vufflens-la-Ville</v>
      </c>
      <c r="C69" s="307">
        <f>Données!C69</f>
        <v>1327</v>
      </c>
      <c r="D69" s="303">
        <f t="shared" si="4"/>
        <v>1000</v>
      </c>
      <c r="E69" s="303">
        <f t="shared" si="13"/>
        <v>327</v>
      </c>
      <c r="F69" s="308">
        <f t="shared" si="13"/>
        <v>0</v>
      </c>
      <c r="G69" s="302">
        <f t="shared" si="13"/>
        <v>0</v>
      </c>
      <c r="H69" s="303">
        <f t="shared" si="13"/>
        <v>0</v>
      </c>
      <c r="I69" s="308">
        <f t="shared" si="13"/>
        <v>0</v>
      </c>
      <c r="J69" s="308">
        <f t="shared" si="13"/>
        <v>0</v>
      </c>
      <c r="K69" s="309">
        <f t="shared" si="5"/>
        <v>0</v>
      </c>
      <c r="L69" s="308">
        <f t="shared" si="6"/>
        <v>2981</v>
      </c>
      <c r="M69" s="326">
        <f>Données!AE69</f>
        <v>0</v>
      </c>
      <c r="N69" s="308">
        <v>0</v>
      </c>
      <c r="O69" s="303">
        <f t="shared" si="2"/>
        <v>1327</v>
      </c>
      <c r="P69" s="308">
        <f t="shared" si="7"/>
        <v>2981</v>
      </c>
      <c r="Q69" s="309">
        <f t="shared" si="3"/>
        <v>39913.857888561557</v>
      </c>
      <c r="R69" s="308">
        <f t="shared" si="8"/>
        <v>87449.134794336554</v>
      </c>
      <c r="S69" s="302">
        <f t="shared" si="9"/>
        <v>73032.069195651027</v>
      </c>
      <c r="T69" s="303">
        <f t="shared" si="10"/>
        <v>0</v>
      </c>
      <c r="U69" s="327">
        <f t="shared" si="11"/>
        <v>200395.06187854914</v>
      </c>
    </row>
    <row r="70" spans="1:21" x14ac:dyDescent="0.25">
      <c r="A70" s="111">
        <f>Données!A70</f>
        <v>5511</v>
      </c>
      <c r="B70" s="112" t="str">
        <f>Données!B70</f>
        <v>Assens</v>
      </c>
      <c r="C70" s="307">
        <f>Données!C70</f>
        <v>1747</v>
      </c>
      <c r="D70" s="303">
        <f t="shared" si="4"/>
        <v>1000</v>
      </c>
      <c r="E70" s="303">
        <f t="shared" si="13"/>
        <v>747</v>
      </c>
      <c r="F70" s="308">
        <f t="shared" si="13"/>
        <v>0</v>
      </c>
      <c r="G70" s="302">
        <f t="shared" si="13"/>
        <v>0</v>
      </c>
      <c r="H70" s="303">
        <f t="shared" si="13"/>
        <v>0</v>
      </c>
      <c r="I70" s="308">
        <f t="shared" si="13"/>
        <v>0</v>
      </c>
      <c r="J70" s="308">
        <f t="shared" si="13"/>
        <v>0</v>
      </c>
      <c r="K70" s="309">
        <f t="shared" si="5"/>
        <v>0</v>
      </c>
      <c r="L70" s="308">
        <f t="shared" si="6"/>
        <v>4241</v>
      </c>
      <c r="M70" s="326">
        <f>Données!AE70</f>
        <v>0</v>
      </c>
      <c r="N70" s="308">
        <v>0</v>
      </c>
      <c r="O70" s="303">
        <f t="shared" si="2"/>
        <v>1747</v>
      </c>
      <c r="P70" s="308">
        <f t="shared" si="7"/>
        <v>4241</v>
      </c>
      <c r="Q70" s="309">
        <f t="shared" si="3"/>
        <v>52546.72926248458</v>
      </c>
      <c r="R70" s="308">
        <f t="shared" si="8"/>
        <v>115127.08250618384</v>
      </c>
      <c r="S70" s="302">
        <f t="shared" si="9"/>
        <v>103901.04175067293</v>
      </c>
      <c r="T70" s="303">
        <f t="shared" si="10"/>
        <v>0</v>
      </c>
      <c r="U70" s="327">
        <f t="shared" si="11"/>
        <v>271574.85351934133</v>
      </c>
    </row>
    <row r="71" spans="1:21" x14ac:dyDescent="0.25">
      <c r="A71" s="111">
        <f>Données!A71</f>
        <v>5512</v>
      </c>
      <c r="B71" s="112" t="str">
        <f>Données!B71</f>
        <v>Bercher</v>
      </c>
      <c r="C71" s="307">
        <f>Données!C71</f>
        <v>1359</v>
      </c>
      <c r="D71" s="303">
        <f t="shared" si="4"/>
        <v>1000</v>
      </c>
      <c r="E71" s="303">
        <f t="shared" si="13"/>
        <v>359</v>
      </c>
      <c r="F71" s="308">
        <f t="shared" si="13"/>
        <v>0</v>
      </c>
      <c r="G71" s="302">
        <f t="shared" si="13"/>
        <v>0</v>
      </c>
      <c r="H71" s="303">
        <f t="shared" si="13"/>
        <v>0</v>
      </c>
      <c r="I71" s="308">
        <f t="shared" si="13"/>
        <v>0</v>
      </c>
      <c r="J71" s="308">
        <f t="shared" si="13"/>
        <v>0</v>
      </c>
      <c r="K71" s="309">
        <f t="shared" si="5"/>
        <v>0</v>
      </c>
      <c r="L71" s="308">
        <f t="shared" si="6"/>
        <v>3077</v>
      </c>
      <c r="M71" s="326">
        <f>Données!AE71</f>
        <v>0</v>
      </c>
      <c r="N71" s="308">
        <v>0</v>
      </c>
      <c r="O71" s="303">
        <f t="shared" si="2"/>
        <v>1359</v>
      </c>
      <c r="P71" s="308">
        <f t="shared" si="7"/>
        <v>3077</v>
      </c>
      <c r="Q71" s="309">
        <f t="shared" si="3"/>
        <v>40876.362374193784</v>
      </c>
      <c r="R71" s="308">
        <f t="shared" si="8"/>
        <v>89557.930810477308</v>
      </c>
      <c r="S71" s="302">
        <f t="shared" si="9"/>
        <v>75383.990914128895</v>
      </c>
      <c r="T71" s="303">
        <f t="shared" si="10"/>
        <v>0</v>
      </c>
      <c r="U71" s="327">
        <f t="shared" si="11"/>
        <v>205818.28409879998</v>
      </c>
    </row>
    <row r="72" spans="1:21" x14ac:dyDescent="0.25">
      <c r="A72" s="111">
        <f>Données!A72</f>
        <v>5514</v>
      </c>
      <c r="B72" s="112" t="str">
        <f>Données!B72</f>
        <v>Bottens</v>
      </c>
      <c r="C72" s="307">
        <f>Données!C72</f>
        <v>1389</v>
      </c>
      <c r="D72" s="303">
        <f t="shared" si="4"/>
        <v>1000</v>
      </c>
      <c r="E72" s="303">
        <f t="shared" si="13"/>
        <v>389</v>
      </c>
      <c r="F72" s="308">
        <f t="shared" si="13"/>
        <v>0</v>
      </c>
      <c r="G72" s="302">
        <f t="shared" si="13"/>
        <v>0</v>
      </c>
      <c r="H72" s="303">
        <f t="shared" si="13"/>
        <v>0</v>
      </c>
      <c r="I72" s="308">
        <f t="shared" si="13"/>
        <v>0</v>
      </c>
      <c r="J72" s="308">
        <f t="shared" si="13"/>
        <v>0</v>
      </c>
      <c r="K72" s="309">
        <f t="shared" si="5"/>
        <v>0</v>
      </c>
      <c r="L72" s="308">
        <f t="shared" si="6"/>
        <v>3167</v>
      </c>
      <c r="M72" s="326">
        <f>Données!AE72</f>
        <v>0</v>
      </c>
      <c r="N72" s="308">
        <v>0</v>
      </c>
      <c r="O72" s="303">
        <f t="shared" ref="O72:O135" si="14">IF(N72=0,C72,0)</f>
        <v>1389</v>
      </c>
      <c r="P72" s="308">
        <f t="shared" si="7"/>
        <v>3167</v>
      </c>
      <c r="Q72" s="309">
        <f t="shared" ref="Q72:Q135" si="15">$Q$6/$C$308*C72</f>
        <v>41778.710329474001</v>
      </c>
      <c r="R72" s="308">
        <f t="shared" ref="R72:R135" si="16">$R$6/$O$308*O72</f>
        <v>91534.927075609259</v>
      </c>
      <c r="S72" s="302">
        <f t="shared" ref="S72:S135" si="17">$S$6/$P$308*P72</f>
        <v>77588.917525201876</v>
      </c>
      <c r="T72" s="303">
        <f t="shared" ref="T72:T135" si="18">IF(M72&gt;N72,-R72-S72,IF(M72&lt;N72,C72*$R$311+L72*$S$311,IF(M72=N72,0,"Erreur")))</f>
        <v>0</v>
      </c>
      <c r="U72" s="327">
        <f t="shared" si="11"/>
        <v>210902.55493028514</v>
      </c>
    </row>
    <row r="73" spans="1:21" x14ac:dyDescent="0.25">
      <c r="A73" s="111">
        <f>Données!A73</f>
        <v>5515</v>
      </c>
      <c r="B73" s="112" t="str">
        <f>Données!B73</f>
        <v>Bretigny-sur-Morrens</v>
      </c>
      <c r="C73" s="307">
        <f>Données!C73</f>
        <v>893</v>
      </c>
      <c r="D73" s="303">
        <f t="shared" ref="D73:D136" si="19">IF(C73&gt;$D$5,$D$5-$D$4,C73)</f>
        <v>893</v>
      </c>
      <c r="E73" s="303">
        <f t="shared" si="13"/>
        <v>0</v>
      </c>
      <c r="F73" s="308">
        <f t="shared" si="13"/>
        <v>0</v>
      </c>
      <c r="G73" s="302">
        <f t="shared" si="13"/>
        <v>0</v>
      </c>
      <c r="H73" s="303">
        <f t="shared" si="13"/>
        <v>0</v>
      </c>
      <c r="I73" s="308">
        <f t="shared" si="13"/>
        <v>0</v>
      </c>
      <c r="J73" s="308">
        <f t="shared" si="13"/>
        <v>0</v>
      </c>
      <c r="K73" s="309">
        <f t="shared" ref="K73:K136" si="20">IF($C73&lt;K$4,0,$C73-K$4)</f>
        <v>0</v>
      </c>
      <c r="L73" s="308">
        <f t="shared" ref="L73:L136" si="21">SUMPRODUCT($D$6:$K$6,D73:K73)</f>
        <v>1786</v>
      </c>
      <c r="M73" s="326">
        <f>Données!AE73</f>
        <v>0</v>
      </c>
      <c r="N73" s="308">
        <v>0</v>
      </c>
      <c r="O73" s="303">
        <f t="shared" si="14"/>
        <v>893</v>
      </c>
      <c r="P73" s="308">
        <f t="shared" ref="P73:P136" si="22">IF(N73=0,L73,0)</f>
        <v>1786</v>
      </c>
      <c r="Q73" s="309">
        <f t="shared" si="15"/>
        <v>26859.890802174428</v>
      </c>
      <c r="R73" s="308">
        <f t="shared" si="16"/>
        <v>58848.588825427687</v>
      </c>
      <c r="S73" s="302">
        <f t="shared" si="17"/>
        <v>43755.543637515177</v>
      </c>
      <c r="T73" s="303">
        <f t="shared" si="18"/>
        <v>0</v>
      </c>
      <c r="U73" s="327">
        <f t="shared" ref="U73:U136" si="23">SUM(Q73:T73)</f>
        <v>129464.0232651173</v>
      </c>
    </row>
    <row r="74" spans="1:21" x14ac:dyDescent="0.25">
      <c r="A74" s="111">
        <f>Données!A74</f>
        <v>5516</v>
      </c>
      <c r="B74" s="112" t="str">
        <f>Données!B74</f>
        <v>Cugy</v>
      </c>
      <c r="C74" s="307">
        <f>Données!C74</f>
        <v>2824</v>
      </c>
      <c r="D74" s="303">
        <f t="shared" si="19"/>
        <v>1000</v>
      </c>
      <c r="E74" s="303">
        <f t="shared" si="13"/>
        <v>1824</v>
      </c>
      <c r="F74" s="308">
        <f t="shared" si="13"/>
        <v>0</v>
      </c>
      <c r="G74" s="302">
        <f t="shared" si="13"/>
        <v>0</v>
      </c>
      <c r="H74" s="303">
        <f t="shared" si="13"/>
        <v>0</v>
      </c>
      <c r="I74" s="308">
        <f t="shared" si="13"/>
        <v>0</v>
      </c>
      <c r="J74" s="308">
        <f t="shared" si="13"/>
        <v>0</v>
      </c>
      <c r="K74" s="309">
        <f t="shared" si="20"/>
        <v>0</v>
      </c>
      <c r="L74" s="308">
        <f t="shared" si="21"/>
        <v>7472</v>
      </c>
      <c r="M74" s="326">
        <f>Données!AE74</f>
        <v>0</v>
      </c>
      <c r="N74" s="308">
        <v>0</v>
      </c>
      <c r="O74" s="303">
        <f t="shared" si="14"/>
        <v>2824</v>
      </c>
      <c r="P74" s="308">
        <f t="shared" si="22"/>
        <v>7472</v>
      </c>
      <c r="Q74" s="309">
        <f t="shared" si="15"/>
        <v>84941.020857044336</v>
      </c>
      <c r="R74" s="308">
        <f t="shared" si="16"/>
        <v>186101.24842442083</v>
      </c>
      <c r="S74" s="302">
        <f t="shared" si="17"/>
        <v>183057.9070881934</v>
      </c>
      <c r="T74" s="303">
        <f t="shared" si="18"/>
        <v>0</v>
      </c>
      <c r="U74" s="327">
        <f t="shared" si="23"/>
        <v>454100.17636965855</v>
      </c>
    </row>
    <row r="75" spans="1:21" x14ac:dyDescent="0.25">
      <c r="A75" s="111">
        <f>Données!A75</f>
        <v>5518</v>
      </c>
      <c r="B75" s="112" t="str">
        <f>Données!B75</f>
        <v>Echallens</v>
      </c>
      <c r="C75" s="307">
        <f>Données!C75</f>
        <v>6816</v>
      </c>
      <c r="D75" s="303">
        <f t="shared" si="19"/>
        <v>1000</v>
      </c>
      <c r="E75" s="303">
        <f t="shared" si="13"/>
        <v>2000</v>
      </c>
      <c r="F75" s="308">
        <f t="shared" si="13"/>
        <v>2000</v>
      </c>
      <c r="G75" s="302">
        <f t="shared" si="13"/>
        <v>1816</v>
      </c>
      <c r="H75" s="303">
        <f t="shared" si="13"/>
        <v>0</v>
      </c>
      <c r="I75" s="308">
        <f t="shared" si="13"/>
        <v>0</v>
      </c>
      <c r="J75" s="308">
        <f t="shared" si="13"/>
        <v>0</v>
      </c>
      <c r="K75" s="309">
        <f t="shared" si="20"/>
        <v>0</v>
      </c>
      <c r="L75" s="308">
        <f t="shared" si="21"/>
        <v>22264</v>
      </c>
      <c r="M75" s="326">
        <f>Données!AE75</f>
        <v>0</v>
      </c>
      <c r="N75" s="308">
        <v>0</v>
      </c>
      <c r="O75" s="303">
        <f t="shared" si="14"/>
        <v>6816</v>
      </c>
      <c r="P75" s="308">
        <f t="shared" si="22"/>
        <v>22264</v>
      </c>
      <c r="Q75" s="309">
        <f t="shared" si="15"/>
        <v>205013.45543966506</v>
      </c>
      <c r="R75" s="308">
        <f t="shared" si="16"/>
        <v>449173.55143797887</v>
      </c>
      <c r="S75" s="302">
        <f t="shared" si="17"/>
        <v>545449.84521032358</v>
      </c>
      <c r="T75" s="303">
        <f t="shared" si="18"/>
        <v>0</v>
      </c>
      <c r="U75" s="327">
        <f t="shared" si="23"/>
        <v>1199636.8520879676</v>
      </c>
    </row>
    <row r="76" spans="1:21" x14ac:dyDescent="0.25">
      <c r="A76" s="111">
        <f>Données!A76</f>
        <v>5520</v>
      </c>
      <c r="B76" s="112" t="str">
        <f>Données!B76</f>
        <v>Essertines-sur-Yverdon</v>
      </c>
      <c r="C76" s="307">
        <f>Données!C76</f>
        <v>1183</v>
      </c>
      <c r="D76" s="303">
        <f t="shared" si="19"/>
        <v>1000</v>
      </c>
      <c r="E76" s="303">
        <f t="shared" si="13"/>
        <v>183</v>
      </c>
      <c r="F76" s="308">
        <f t="shared" si="13"/>
        <v>0</v>
      </c>
      <c r="G76" s="302">
        <f t="shared" si="13"/>
        <v>0</v>
      </c>
      <c r="H76" s="303">
        <f t="shared" si="13"/>
        <v>0</v>
      </c>
      <c r="I76" s="308">
        <f t="shared" si="13"/>
        <v>0</v>
      </c>
      <c r="J76" s="308">
        <f t="shared" si="13"/>
        <v>0</v>
      </c>
      <c r="K76" s="309">
        <f t="shared" si="20"/>
        <v>0</v>
      </c>
      <c r="L76" s="308">
        <f t="shared" si="21"/>
        <v>2549</v>
      </c>
      <c r="M76" s="326">
        <f>Données!AE76</f>
        <v>0</v>
      </c>
      <c r="N76" s="308">
        <v>0</v>
      </c>
      <c r="O76" s="303">
        <f t="shared" si="14"/>
        <v>1183</v>
      </c>
      <c r="P76" s="308">
        <f t="shared" si="22"/>
        <v>2549</v>
      </c>
      <c r="Q76" s="309">
        <f t="shared" si="15"/>
        <v>35582.587703216515</v>
      </c>
      <c r="R76" s="308">
        <f t="shared" si="16"/>
        <v>77959.552721703207</v>
      </c>
      <c r="S76" s="302">
        <f t="shared" si="17"/>
        <v>62448.421462500664</v>
      </c>
      <c r="T76" s="303">
        <f t="shared" si="18"/>
        <v>0</v>
      </c>
      <c r="U76" s="327">
        <f t="shared" si="23"/>
        <v>175990.56188742039</v>
      </c>
    </row>
    <row r="77" spans="1:21" x14ac:dyDescent="0.25">
      <c r="A77" s="111">
        <f>Données!A77</f>
        <v>5521</v>
      </c>
      <c r="B77" s="112" t="str">
        <f>Données!B77</f>
        <v>Etagnières</v>
      </c>
      <c r="C77" s="307">
        <f>Données!C77</f>
        <v>1168</v>
      </c>
      <c r="D77" s="303">
        <f t="shared" si="19"/>
        <v>1000</v>
      </c>
      <c r="E77" s="303">
        <f t="shared" si="13"/>
        <v>168</v>
      </c>
      <c r="F77" s="308">
        <f t="shared" si="13"/>
        <v>0</v>
      </c>
      <c r="G77" s="302">
        <f t="shared" si="13"/>
        <v>0</v>
      </c>
      <c r="H77" s="303">
        <f t="shared" si="13"/>
        <v>0</v>
      </c>
      <c r="I77" s="308">
        <f t="shared" si="13"/>
        <v>0</v>
      </c>
      <c r="J77" s="308">
        <f t="shared" si="13"/>
        <v>0</v>
      </c>
      <c r="K77" s="309">
        <f t="shared" si="20"/>
        <v>0</v>
      </c>
      <c r="L77" s="308">
        <f t="shared" si="21"/>
        <v>2504</v>
      </c>
      <c r="M77" s="326">
        <f>Données!AE77</f>
        <v>0</v>
      </c>
      <c r="N77" s="308">
        <v>0</v>
      </c>
      <c r="O77" s="303">
        <f t="shared" si="14"/>
        <v>1168</v>
      </c>
      <c r="P77" s="308">
        <f t="shared" si="22"/>
        <v>2504</v>
      </c>
      <c r="Q77" s="309">
        <f t="shared" si="15"/>
        <v>35131.413725576407</v>
      </c>
      <c r="R77" s="308">
        <f t="shared" si="16"/>
        <v>76971.054589137231</v>
      </c>
      <c r="S77" s="302">
        <f t="shared" si="17"/>
        <v>61345.958156964167</v>
      </c>
      <c r="T77" s="303">
        <f t="shared" si="18"/>
        <v>0</v>
      </c>
      <c r="U77" s="327">
        <f t="shared" si="23"/>
        <v>173448.42647167781</v>
      </c>
    </row>
    <row r="78" spans="1:21" x14ac:dyDescent="0.25">
      <c r="A78" s="111">
        <f>Données!A78</f>
        <v>5522</v>
      </c>
      <c r="B78" s="112" t="str">
        <f>Données!B78</f>
        <v>Fey</v>
      </c>
      <c r="C78" s="307">
        <f>Données!C78</f>
        <v>791</v>
      </c>
      <c r="D78" s="303">
        <f t="shared" si="19"/>
        <v>791</v>
      </c>
      <c r="E78" s="303">
        <f t="shared" si="13"/>
        <v>0</v>
      </c>
      <c r="F78" s="308">
        <f t="shared" si="13"/>
        <v>0</v>
      </c>
      <c r="G78" s="302">
        <f t="shared" si="13"/>
        <v>0</v>
      </c>
      <c r="H78" s="303">
        <f t="shared" si="13"/>
        <v>0</v>
      </c>
      <c r="I78" s="308">
        <f t="shared" si="13"/>
        <v>0</v>
      </c>
      <c r="J78" s="308">
        <f t="shared" si="13"/>
        <v>0</v>
      </c>
      <c r="K78" s="309">
        <f t="shared" si="20"/>
        <v>0</v>
      </c>
      <c r="L78" s="308">
        <f t="shared" si="21"/>
        <v>1582</v>
      </c>
      <c r="M78" s="326">
        <f>Données!AE78</f>
        <v>0</v>
      </c>
      <c r="N78" s="308">
        <v>0</v>
      </c>
      <c r="O78" s="303">
        <f t="shared" si="14"/>
        <v>791</v>
      </c>
      <c r="P78" s="308">
        <f t="shared" si="22"/>
        <v>1582</v>
      </c>
      <c r="Q78" s="309">
        <f t="shared" si="15"/>
        <v>23791.907754221695</v>
      </c>
      <c r="R78" s="308">
        <f t="shared" si="16"/>
        <v>52126.801523979062</v>
      </c>
      <c r="S78" s="302">
        <f t="shared" si="17"/>
        <v>38757.709985749723</v>
      </c>
      <c r="T78" s="303">
        <f t="shared" si="18"/>
        <v>0</v>
      </c>
      <c r="U78" s="327">
        <f t="shared" si="23"/>
        <v>114676.41926395048</v>
      </c>
    </row>
    <row r="79" spans="1:21" x14ac:dyDescent="0.25">
      <c r="A79" s="111">
        <f>Données!A79</f>
        <v>5523</v>
      </c>
      <c r="B79" s="112" t="str">
        <f>Données!B79</f>
        <v>Froideville</v>
      </c>
      <c r="C79" s="307">
        <f>Données!C79</f>
        <v>2713</v>
      </c>
      <c r="D79" s="303">
        <f t="shared" si="19"/>
        <v>1000</v>
      </c>
      <c r="E79" s="303">
        <f t="shared" si="13"/>
        <v>1713</v>
      </c>
      <c r="F79" s="308">
        <f t="shared" si="13"/>
        <v>0</v>
      </c>
      <c r="G79" s="302">
        <f t="shared" si="13"/>
        <v>0</v>
      </c>
      <c r="H79" s="303">
        <f t="shared" si="13"/>
        <v>0</v>
      </c>
      <c r="I79" s="308">
        <f t="shared" si="13"/>
        <v>0</v>
      </c>
      <c r="J79" s="308">
        <f t="shared" si="13"/>
        <v>0</v>
      </c>
      <c r="K79" s="309">
        <f t="shared" si="20"/>
        <v>0</v>
      </c>
      <c r="L79" s="308">
        <f t="shared" si="21"/>
        <v>7139</v>
      </c>
      <c r="M79" s="326">
        <f>Données!AE79</f>
        <v>0</v>
      </c>
      <c r="N79" s="308">
        <v>0</v>
      </c>
      <c r="O79" s="303">
        <f t="shared" si="14"/>
        <v>2713</v>
      </c>
      <c r="P79" s="308">
        <f t="shared" si="22"/>
        <v>7139</v>
      </c>
      <c r="Q79" s="309">
        <f t="shared" si="15"/>
        <v>81602.333422507538</v>
      </c>
      <c r="R79" s="308">
        <f t="shared" si="16"/>
        <v>178786.36224343261</v>
      </c>
      <c r="S79" s="302">
        <f t="shared" si="17"/>
        <v>174899.6786272233</v>
      </c>
      <c r="T79" s="303">
        <f t="shared" si="18"/>
        <v>0</v>
      </c>
      <c r="U79" s="327">
        <f t="shared" si="23"/>
        <v>435288.37429316342</v>
      </c>
    </row>
    <row r="80" spans="1:21" x14ac:dyDescent="0.25">
      <c r="A80" s="111">
        <f>Données!A80</f>
        <v>5527</v>
      </c>
      <c r="B80" s="112" t="str">
        <f>Données!B80</f>
        <v>Morrens</v>
      </c>
      <c r="C80" s="307">
        <f>Données!C80</f>
        <v>1145</v>
      </c>
      <c r="D80" s="303">
        <f t="shared" si="19"/>
        <v>1000</v>
      </c>
      <c r="E80" s="303">
        <f t="shared" si="13"/>
        <v>145</v>
      </c>
      <c r="F80" s="308">
        <f t="shared" si="13"/>
        <v>0</v>
      </c>
      <c r="G80" s="302">
        <f t="shared" si="13"/>
        <v>0</v>
      </c>
      <c r="H80" s="303">
        <f t="shared" si="13"/>
        <v>0</v>
      </c>
      <c r="I80" s="308">
        <f t="shared" si="13"/>
        <v>0</v>
      </c>
      <c r="J80" s="308">
        <f t="shared" si="13"/>
        <v>0</v>
      </c>
      <c r="K80" s="309">
        <f t="shared" si="20"/>
        <v>0</v>
      </c>
      <c r="L80" s="308">
        <f t="shared" si="21"/>
        <v>2435</v>
      </c>
      <c r="M80" s="326">
        <f>Données!AE80</f>
        <v>0</v>
      </c>
      <c r="N80" s="308">
        <v>0</v>
      </c>
      <c r="O80" s="303">
        <f t="shared" si="14"/>
        <v>1145</v>
      </c>
      <c r="P80" s="308">
        <f t="shared" si="22"/>
        <v>2435</v>
      </c>
      <c r="Q80" s="309">
        <f t="shared" si="15"/>
        <v>34439.613626528248</v>
      </c>
      <c r="R80" s="308">
        <f t="shared" si="16"/>
        <v>75455.35745253606</v>
      </c>
      <c r="S80" s="302">
        <f t="shared" si="17"/>
        <v>59655.514421808206</v>
      </c>
      <c r="T80" s="303">
        <f t="shared" si="18"/>
        <v>0</v>
      </c>
      <c r="U80" s="327">
        <f t="shared" si="23"/>
        <v>169550.48550087251</v>
      </c>
    </row>
    <row r="81" spans="1:21" x14ac:dyDescent="0.25">
      <c r="A81" s="111">
        <f>Données!A81</f>
        <v>5529</v>
      </c>
      <c r="B81" s="112" t="str">
        <f>Données!B81</f>
        <v>Oulens-sous-Echallens</v>
      </c>
      <c r="C81" s="307">
        <f>Données!C81</f>
        <v>609</v>
      </c>
      <c r="D81" s="303">
        <f t="shared" si="19"/>
        <v>609</v>
      </c>
      <c r="E81" s="303">
        <f t="shared" si="13"/>
        <v>0</v>
      </c>
      <c r="F81" s="308">
        <f t="shared" si="13"/>
        <v>0</v>
      </c>
      <c r="G81" s="302">
        <f t="shared" si="13"/>
        <v>0</v>
      </c>
      <c r="H81" s="303">
        <f t="shared" si="13"/>
        <v>0</v>
      </c>
      <c r="I81" s="308">
        <f t="shared" si="13"/>
        <v>0</v>
      </c>
      <c r="J81" s="308">
        <f t="shared" si="13"/>
        <v>0</v>
      </c>
      <c r="K81" s="309">
        <f t="shared" si="20"/>
        <v>0</v>
      </c>
      <c r="L81" s="308">
        <f t="shared" si="21"/>
        <v>1218</v>
      </c>
      <c r="M81" s="326">
        <f>Données!AE81</f>
        <v>0</v>
      </c>
      <c r="N81" s="308">
        <v>0</v>
      </c>
      <c r="O81" s="303">
        <f t="shared" si="14"/>
        <v>609</v>
      </c>
      <c r="P81" s="308">
        <f t="shared" si="22"/>
        <v>1218</v>
      </c>
      <c r="Q81" s="309">
        <f t="shared" si="15"/>
        <v>18317.663492188385</v>
      </c>
      <c r="R81" s="308">
        <f t="shared" si="16"/>
        <v>40133.024182178568</v>
      </c>
      <c r="S81" s="302">
        <f t="shared" si="17"/>
        <v>29840.00680318784</v>
      </c>
      <c r="T81" s="303">
        <f t="shared" si="18"/>
        <v>0</v>
      </c>
      <c r="U81" s="327">
        <f t="shared" si="23"/>
        <v>88290.694477554789</v>
      </c>
    </row>
    <row r="82" spans="1:21" x14ac:dyDescent="0.25">
      <c r="A82" s="111">
        <f>Données!A82</f>
        <v>5530</v>
      </c>
      <c r="B82" s="112" t="str">
        <f>Données!B82</f>
        <v>Pailly</v>
      </c>
      <c r="C82" s="307">
        <f>Données!C82</f>
        <v>575</v>
      </c>
      <c r="D82" s="303">
        <f t="shared" si="19"/>
        <v>575</v>
      </c>
      <c r="E82" s="303">
        <f t="shared" si="13"/>
        <v>0</v>
      </c>
      <c r="F82" s="308">
        <f t="shared" si="13"/>
        <v>0</v>
      </c>
      <c r="G82" s="302">
        <f t="shared" si="13"/>
        <v>0</v>
      </c>
      <c r="H82" s="303">
        <f t="shared" si="13"/>
        <v>0</v>
      </c>
      <c r="I82" s="308">
        <f t="shared" si="13"/>
        <v>0</v>
      </c>
      <c r="J82" s="308">
        <f t="shared" si="13"/>
        <v>0</v>
      </c>
      <c r="K82" s="309">
        <f t="shared" si="20"/>
        <v>0</v>
      </c>
      <c r="L82" s="308">
        <f t="shared" si="21"/>
        <v>1150</v>
      </c>
      <c r="M82" s="326">
        <f>Données!AE82</f>
        <v>0</v>
      </c>
      <c r="N82" s="308">
        <v>0</v>
      </c>
      <c r="O82" s="303">
        <f t="shared" si="14"/>
        <v>575</v>
      </c>
      <c r="P82" s="308">
        <f t="shared" si="22"/>
        <v>1150</v>
      </c>
      <c r="Q82" s="309">
        <f t="shared" si="15"/>
        <v>17295.002476204139</v>
      </c>
      <c r="R82" s="308">
        <f t="shared" si="16"/>
        <v>37892.428415029026</v>
      </c>
      <c r="S82" s="302">
        <f t="shared" si="17"/>
        <v>28174.062252599357</v>
      </c>
      <c r="T82" s="303">
        <f t="shared" si="18"/>
        <v>0</v>
      </c>
      <c r="U82" s="327">
        <f t="shared" si="23"/>
        <v>83361.493143832515</v>
      </c>
    </row>
    <row r="83" spans="1:21" x14ac:dyDescent="0.25">
      <c r="A83" s="111">
        <f>Données!A83</f>
        <v>5531</v>
      </c>
      <c r="B83" s="112" t="str">
        <f>Données!B83</f>
        <v>Penthéréaz</v>
      </c>
      <c r="C83" s="307">
        <f>Données!C83</f>
        <v>446</v>
      </c>
      <c r="D83" s="303">
        <f t="shared" si="19"/>
        <v>446</v>
      </c>
      <c r="E83" s="303">
        <f t="shared" si="13"/>
        <v>0</v>
      </c>
      <c r="F83" s="308">
        <f t="shared" si="13"/>
        <v>0</v>
      </c>
      <c r="G83" s="302">
        <f t="shared" si="13"/>
        <v>0</v>
      </c>
      <c r="H83" s="303">
        <f t="shared" si="13"/>
        <v>0</v>
      </c>
      <c r="I83" s="308">
        <f t="shared" si="13"/>
        <v>0</v>
      </c>
      <c r="J83" s="308">
        <f t="shared" si="13"/>
        <v>0</v>
      </c>
      <c r="K83" s="309">
        <f t="shared" si="20"/>
        <v>0</v>
      </c>
      <c r="L83" s="308">
        <f t="shared" si="21"/>
        <v>892</v>
      </c>
      <c r="M83" s="326">
        <f>Données!AE83</f>
        <v>0</v>
      </c>
      <c r="N83" s="308">
        <v>0</v>
      </c>
      <c r="O83" s="303">
        <f t="shared" si="14"/>
        <v>446</v>
      </c>
      <c r="P83" s="308">
        <f t="shared" si="22"/>
        <v>892</v>
      </c>
      <c r="Q83" s="309">
        <f t="shared" si="15"/>
        <v>13414.906268499211</v>
      </c>
      <c r="R83" s="308">
        <f t="shared" si="16"/>
        <v>29391.344474961646</v>
      </c>
      <c r="S83" s="302">
        <f t="shared" si="17"/>
        <v>21853.272634190111</v>
      </c>
      <c r="T83" s="303">
        <f t="shared" si="18"/>
        <v>0</v>
      </c>
      <c r="U83" s="327">
        <f t="shared" si="23"/>
        <v>64659.52337765097</v>
      </c>
    </row>
    <row r="84" spans="1:21" x14ac:dyDescent="0.25">
      <c r="A84" s="111">
        <f>Données!A84</f>
        <v>5533</v>
      </c>
      <c r="B84" s="112" t="str">
        <f>Données!B84</f>
        <v>Poliez-Pittet</v>
      </c>
      <c r="C84" s="307">
        <f>Données!C84</f>
        <v>847</v>
      </c>
      <c r="D84" s="303">
        <f t="shared" si="19"/>
        <v>847</v>
      </c>
      <c r="E84" s="303">
        <f t="shared" si="13"/>
        <v>0</v>
      </c>
      <c r="F84" s="308">
        <f t="shared" si="13"/>
        <v>0</v>
      </c>
      <c r="G84" s="302">
        <f t="shared" si="13"/>
        <v>0</v>
      </c>
      <c r="H84" s="303">
        <f t="shared" si="13"/>
        <v>0</v>
      </c>
      <c r="I84" s="308">
        <f t="shared" si="13"/>
        <v>0</v>
      </c>
      <c r="J84" s="308">
        <f t="shared" si="13"/>
        <v>0</v>
      </c>
      <c r="K84" s="309">
        <f t="shared" si="20"/>
        <v>0</v>
      </c>
      <c r="L84" s="308">
        <f t="shared" si="21"/>
        <v>1694</v>
      </c>
      <c r="M84" s="326">
        <f>Données!AE84</f>
        <v>0</v>
      </c>
      <c r="N84" s="308">
        <v>0</v>
      </c>
      <c r="O84" s="303">
        <f t="shared" si="14"/>
        <v>847</v>
      </c>
      <c r="P84" s="308">
        <f t="shared" si="22"/>
        <v>1694</v>
      </c>
      <c r="Q84" s="309">
        <f t="shared" si="15"/>
        <v>25476.290604078098</v>
      </c>
      <c r="R84" s="308">
        <f t="shared" si="16"/>
        <v>55817.194552225366</v>
      </c>
      <c r="S84" s="302">
        <f t="shared" si="17"/>
        <v>41501.618657307226</v>
      </c>
      <c r="T84" s="303">
        <f t="shared" si="18"/>
        <v>0</v>
      </c>
      <c r="U84" s="327">
        <f t="shared" si="23"/>
        <v>122795.10381361068</v>
      </c>
    </row>
    <row r="85" spans="1:21" x14ac:dyDescent="0.25">
      <c r="A85" s="111">
        <f>Données!A85</f>
        <v>5534</v>
      </c>
      <c r="B85" s="112" t="str">
        <f>Données!B85</f>
        <v>Rueyres</v>
      </c>
      <c r="C85" s="307">
        <f>Données!C85</f>
        <v>302</v>
      </c>
      <c r="D85" s="303">
        <f t="shared" si="19"/>
        <v>302</v>
      </c>
      <c r="E85" s="303">
        <f t="shared" si="13"/>
        <v>0</v>
      </c>
      <c r="F85" s="308">
        <f t="shared" si="13"/>
        <v>0</v>
      </c>
      <c r="G85" s="302">
        <f t="shared" si="13"/>
        <v>0</v>
      </c>
      <c r="H85" s="303">
        <f t="shared" si="13"/>
        <v>0</v>
      </c>
      <c r="I85" s="308">
        <f t="shared" si="13"/>
        <v>0</v>
      </c>
      <c r="J85" s="308">
        <f t="shared" si="13"/>
        <v>0</v>
      </c>
      <c r="K85" s="309">
        <f t="shared" si="20"/>
        <v>0</v>
      </c>
      <c r="L85" s="308">
        <f t="shared" si="21"/>
        <v>604</v>
      </c>
      <c r="M85" s="326">
        <f>Données!AE85</f>
        <v>0</v>
      </c>
      <c r="N85" s="308">
        <v>0</v>
      </c>
      <c r="O85" s="303">
        <f t="shared" si="14"/>
        <v>302</v>
      </c>
      <c r="P85" s="308">
        <f t="shared" si="22"/>
        <v>604</v>
      </c>
      <c r="Q85" s="309">
        <f t="shared" si="15"/>
        <v>9083.6360831541751</v>
      </c>
      <c r="R85" s="308">
        <f t="shared" si="16"/>
        <v>19901.762402328288</v>
      </c>
      <c r="S85" s="302">
        <f t="shared" si="17"/>
        <v>14797.507478756532</v>
      </c>
      <c r="T85" s="303">
        <f t="shared" si="18"/>
        <v>0</v>
      </c>
      <c r="U85" s="327">
        <f t="shared" si="23"/>
        <v>43782.905964238991</v>
      </c>
    </row>
    <row r="86" spans="1:21" x14ac:dyDescent="0.25">
      <c r="A86" s="111">
        <f>Données!A86</f>
        <v>5535</v>
      </c>
      <c r="B86" s="112" t="str">
        <f>Données!B86</f>
        <v>Saint-Barthélemy</v>
      </c>
      <c r="C86" s="307">
        <f>Données!C86</f>
        <v>838</v>
      </c>
      <c r="D86" s="303">
        <f t="shared" si="19"/>
        <v>838</v>
      </c>
      <c r="E86" s="303">
        <f t="shared" si="13"/>
        <v>0</v>
      </c>
      <c r="F86" s="308">
        <f t="shared" si="13"/>
        <v>0</v>
      </c>
      <c r="G86" s="302">
        <f t="shared" si="13"/>
        <v>0</v>
      </c>
      <c r="H86" s="303">
        <f t="shared" si="13"/>
        <v>0</v>
      </c>
      <c r="I86" s="308">
        <f t="shared" si="13"/>
        <v>0</v>
      </c>
      <c r="J86" s="308">
        <f t="shared" si="13"/>
        <v>0</v>
      </c>
      <c r="K86" s="309">
        <f t="shared" si="20"/>
        <v>0</v>
      </c>
      <c r="L86" s="308">
        <f t="shared" si="21"/>
        <v>1676</v>
      </c>
      <c r="M86" s="326">
        <f>Données!AE86</f>
        <v>0</v>
      </c>
      <c r="N86" s="308">
        <v>0</v>
      </c>
      <c r="O86" s="303">
        <f t="shared" si="14"/>
        <v>838</v>
      </c>
      <c r="P86" s="308">
        <f t="shared" si="22"/>
        <v>1676</v>
      </c>
      <c r="Q86" s="309">
        <f t="shared" si="15"/>
        <v>25205.586217494034</v>
      </c>
      <c r="R86" s="308">
        <f t="shared" si="16"/>
        <v>55224.095672685784</v>
      </c>
      <c r="S86" s="302">
        <f t="shared" si="17"/>
        <v>41060.633335092629</v>
      </c>
      <c r="T86" s="303">
        <f t="shared" si="18"/>
        <v>0</v>
      </c>
      <c r="U86" s="327">
        <f t="shared" si="23"/>
        <v>121490.31522527244</v>
      </c>
    </row>
    <row r="87" spans="1:21" x14ac:dyDescent="0.25">
      <c r="A87" s="111">
        <f>Données!A87</f>
        <v>5537</v>
      </c>
      <c r="B87" s="112" t="str">
        <f>Données!B87</f>
        <v>Villars-le-Terroir</v>
      </c>
      <c r="C87" s="307">
        <f>Données!C87</f>
        <v>1334</v>
      </c>
      <c r="D87" s="303">
        <f t="shared" si="19"/>
        <v>1000</v>
      </c>
      <c r="E87" s="303">
        <f t="shared" si="13"/>
        <v>334</v>
      </c>
      <c r="F87" s="308">
        <f t="shared" si="13"/>
        <v>0</v>
      </c>
      <c r="G87" s="302">
        <f t="shared" si="13"/>
        <v>0</v>
      </c>
      <c r="H87" s="303">
        <f t="shared" si="13"/>
        <v>0</v>
      </c>
      <c r="I87" s="308">
        <f t="shared" si="13"/>
        <v>0</v>
      </c>
      <c r="J87" s="308">
        <f t="shared" si="13"/>
        <v>0</v>
      </c>
      <c r="K87" s="309">
        <f t="shared" si="20"/>
        <v>0</v>
      </c>
      <c r="L87" s="308">
        <f t="shared" si="21"/>
        <v>3002</v>
      </c>
      <c r="M87" s="326">
        <f>Données!AE87</f>
        <v>0</v>
      </c>
      <c r="N87" s="308">
        <v>0</v>
      </c>
      <c r="O87" s="303">
        <f t="shared" si="14"/>
        <v>1334</v>
      </c>
      <c r="P87" s="308">
        <f t="shared" si="22"/>
        <v>3002</v>
      </c>
      <c r="Q87" s="309">
        <f t="shared" si="15"/>
        <v>40124.405744793607</v>
      </c>
      <c r="R87" s="308">
        <f t="shared" si="16"/>
        <v>87910.433922867349</v>
      </c>
      <c r="S87" s="302">
        <f t="shared" si="17"/>
        <v>73546.552071568061</v>
      </c>
      <c r="T87" s="303">
        <f t="shared" si="18"/>
        <v>0</v>
      </c>
      <c r="U87" s="327">
        <f t="shared" si="23"/>
        <v>201581.39173922903</v>
      </c>
    </row>
    <row r="88" spans="1:21" x14ac:dyDescent="0.25">
      <c r="A88" s="111">
        <f>Données!A88</f>
        <v>5539</v>
      </c>
      <c r="B88" s="112" t="str">
        <f>Données!B88</f>
        <v>Vuarrens</v>
      </c>
      <c r="C88" s="307">
        <f>Données!C88</f>
        <v>1113</v>
      </c>
      <c r="D88" s="303">
        <f t="shared" si="19"/>
        <v>1000</v>
      </c>
      <c r="E88" s="303">
        <f t="shared" si="13"/>
        <v>113</v>
      </c>
      <c r="F88" s="308">
        <f t="shared" si="13"/>
        <v>0</v>
      </c>
      <c r="G88" s="302">
        <f t="shared" si="13"/>
        <v>0</v>
      </c>
      <c r="H88" s="303">
        <f t="shared" si="13"/>
        <v>0</v>
      </c>
      <c r="I88" s="308">
        <f t="shared" si="13"/>
        <v>0</v>
      </c>
      <c r="J88" s="308">
        <f t="shared" si="13"/>
        <v>0</v>
      </c>
      <c r="K88" s="309">
        <f t="shared" si="20"/>
        <v>0</v>
      </c>
      <c r="L88" s="308">
        <f t="shared" si="21"/>
        <v>2339</v>
      </c>
      <c r="M88" s="326">
        <f>Données!AE88</f>
        <v>0</v>
      </c>
      <c r="N88" s="308">
        <v>0</v>
      </c>
      <c r="O88" s="303">
        <f t="shared" si="14"/>
        <v>1113</v>
      </c>
      <c r="P88" s="308">
        <f t="shared" si="22"/>
        <v>2339</v>
      </c>
      <c r="Q88" s="309">
        <f t="shared" si="15"/>
        <v>33477.109140896013</v>
      </c>
      <c r="R88" s="308">
        <f t="shared" si="16"/>
        <v>73346.561436395321</v>
      </c>
      <c r="S88" s="302">
        <f t="shared" si="17"/>
        <v>57303.592703330345</v>
      </c>
      <c r="T88" s="303">
        <f t="shared" si="18"/>
        <v>0</v>
      </c>
      <c r="U88" s="327">
        <f t="shared" si="23"/>
        <v>164127.26328062167</v>
      </c>
    </row>
    <row r="89" spans="1:21" x14ac:dyDescent="0.25">
      <c r="A89" s="111">
        <f>Données!A89</f>
        <v>5540</v>
      </c>
      <c r="B89" s="112" t="str">
        <f>Données!B89</f>
        <v>Montilliez</v>
      </c>
      <c r="C89" s="307">
        <f>Données!C89</f>
        <v>1856</v>
      </c>
      <c r="D89" s="303">
        <f t="shared" si="19"/>
        <v>1000</v>
      </c>
      <c r="E89" s="303">
        <f t="shared" si="13"/>
        <v>856</v>
      </c>
      <c r="F89" s="308">
        <f t="shared" si="13"/>
        <v>0</v>
      </c>
      <c r="G89" s="302">
        <f t="shared" si="13"/>
        <v>0</v>
      </c>
      <c r="H89" s="303">
        <f t="shared" si="13"/>
        <v>0</v>
      </c>
      <c r="I89" s="308">
        <f t="shared" si="13"/>
        <v>0</v>
      </c>
      <c r="J89" s="308">
        <f t="shared" si="13"/>
        <v>0</v>
      </c>
      <c r="K89" s="309">
        <f t="shared" si="20"/>
        <v>0</v>
      </c>
      <c r="L89" s="308">
        <f t="shared" si="21"/>
        <v>4568</v>
      </c>
      <c r="M89" s="326">
        <f>Données!AE89</f>
        <v>0</v>
      </c>
      <c r="N89" s="308">
        <v>0</v>
      </c>
      <c r="O89" s="303">
        <f t="shared" si="14"/>
        <v>1856</v>
      </c>
      <c r="P89" s="308">
        <f t="shared" si="22"/>
        <v>4568</v>
      </c>
      <c r="Q89" s="309">
        <f t="shared" si="15"/>
        <v>55825.260166669366</v>
      </c>
      <c r="R89" s="308">
        <f t="shared" si="16"/>
        <v>122310.16893616326</v>
      </c>
      <c r="S89" s="302">
        <f t="shared" si="17"/>
        <v>111912.27510423814</v>
      </c>
      <c r="T89" s="303">
        <f t="shared" si="18"/>
        <v>0</v>
      </c>
      <c r="U89" s="327">
        <f t="shared" si="23"/>
        <v>290047.70420707075</v>
      </c>
    </row>
    <row r="90" spans="1:21" x14ac:dyDescent="0.25">
      <c r="A90" s="111">
        <f>Données!A90</f>
        <v>5541</v>
      </c>
      <c r="B90" s="112" t="str">
        <f>Données!B90</f>
        <v>Goumoëns</v>
      </c>
      <c r="C90" s="307">
        <f>Données!C90</f>
        <v>1251</v>
      </c>
      <c r="D90" s="303">
        <f t="shared" si="19"/>
        <v>1000</v>
      </c>
      <c r="E90" s="303">
        <f t="shared" si="13"/>
        <v>251</v>
      </c>
      <c r="F90" s="308">
        <f t="shared" si="13"/>
        <v>0</v>
      </c>
      <c r="G90" s="302">
        <f t="shared" si="13"/>
        <v>0</v>
      </c>
      <c r="H90" s="303">
        <f t="shared" si="13"/>
        <v>0</v>
      </c>
      <c r="I90" s="308">
        <f t="shared" si="13"/>
        <v>0</v>
      </c>
      <c r="J90" s="308">
        <f t="shared" si="13"/>
        <v>0</v>
      </c>
      <c r="K90" s="309">
        <f t="shared" si="20"/>
        <v>0</v>
      </c>
      <c r="L90" s="308">
        <f t="shared" si="21"/>
        <v>2753</v>
      </c>
      <c r="M90" s="326">
        <f>Données!AE90</f>
        <v>0</v>
      </c>
      <c r="N90" s="308">
        <v>0</v>
      </c>
      <c r="O90" s="303">
        <f t="shared" si="14"/>
        <v>1251</v>
      </c>
      <c r="P90" s="308">
        <f t="shared" si="22"/>
        <v>2753</v>
      </c>
      <c r="Q90" s="309">
        <f t="shared" si="15"/>
        <v>37627.909735185007</v>
      </c>
      <c r="R90" s="308">
        <f t="shared" si="16"/>
        <v>82440.74425600229</v>
      </c>
      <c r="S90" s="302">
        <f t="shared" si="17"/>
        <v>67446.25511426611</v>
      </c>
      <c r="T90" s="303">
        <f t="shared" si="18"/>
        <v>0</v>
      </c>
      <c r="U90" s="327">
        <f t="shared" si="23"/>
        <v>187514.90910545341</v>
      </c>
    </row>
    <row r="91" spans="1:21" x14ac:dyDescent="0.25">
      <c r="A91" s="111">
        <f>Données!A91</f>
        <v>5551</v>
      </c>
      <c r="B91" s="112" t="str">
        <f>Données!B91</f>
        <v>Bonvillars</v>
      </c>
      <c r="C91" s="307">
        <f>Données!C91</f>
        <v>517</v>
      </c>
      <c r="D91" s="303">
        <f t="shared" si="19"/>
        <v>517</v>
      </c>
      <c r="E91" s="303">
        <f t="shared" si="13"/>
        <v>0</v>
      </c>
      <c r="F91" s="308">
        <f t="shared" si="13"/>
        <v>0</v>
      </c>
      <c r="G91" s="302">
        <f t="shared" si="13"/>
        <v>0</v>
      </c>
      <c r="H91" s="303">
        <f t="shared" si="13"/>
        <v>0</v>
      </c>
      <c r="I91" s="308">
        <f t="shared" si="13"/>
        <v>0</v>
      </c>
      <c r="J91" s="308">
        <f t="shared" si="13"/>
        <v>0</v>
      </c>
      <c r="K91" s="309">
        <f t="shared" si="20"/>
        <v>0</v>
      </c>
      <c r="L91" s="308">
        <f t="shared" si="21"/>
        <v>1034</v>
      </c>
      <c r="M91" s="326">
        <f>Données!AE91</f>
        <v>0</v>
      </c>
      <c r="N91" s="308">
        <v>0</v>
      </c>
      <c r="O91" s="303">
        <f t="shared" si="14"/>
        <v>517</v>
      </c>
      <c r="P91" s="308">
        <f t="shared" si="22"/>
        <v>1034</v>
      </c>
      <c r="Q91" s="309">
        <f t="shared" si="15"/>
        <v>15550.463095995723</v>
      </c>
      <c r="R91" s="308">
        <f t="shared" si="16"/>
        <v>34070.235635773926</v>
      </c>
      <c r="S91" s="302">
        <f t="shared" si="17"/>
        <v>25332.156842771943</v>
      </c>
      <c r="T91" s="303">
        <f t="shared" si="18"/>
        <v>0</v>
      </c>
      <c r="U91" s="327">
        <f t="shared" si="23"/>
        <v>74952.855574541594</v>
      </c>
    </row>
    <row r="92" spans="1:21" x14ac:dyDescent="0.25">
      <c r="A92" s="111">
        <f>Données!A92</f>
        <v>5552</v>
      </c>
      <c r="B92" s="112" t="str">
        <f>Données!B92</f>
        <v>Bullet</v>
      </c>
      <c r="C92" s="307">
        <f>Données!C92</f>
        <v>687</v>
      </c>
      <c r="D92" s="303">
        <f t="shared" si="19"/>
        <v>687</v>
      </c>
      <c r="E92" s="303">
        <f t="shared" si="13"/>
        <v>0</v>
      </c>
      <c r="F92" s="308">
        <f t="shared" si="13"/>
        <v>0</v>
      </c>
      <c r="G92" s="302">
        <f t="shared" si="13"/>
        <v>0</v>
      </c>
      <c r="H92" s="303">
        <f t="shared" si="13"/>
        <v>0</v>
      </c>
      <c r="I92" s="308">
        <f t="shared" si="13"/>
        <v>0</v>
      </c>
      <c r="J92" s="308">
        <f t="shared" si="13"/>
        <v>0</v>
      </c>
      <c r="K92" s="309">
        <f t="shared" si="20"/>
        <v>0</v>
      </c>
      <c r="L92" s="308">
        <f t="shared" si="21"/>
        <v>1374</v>
      </c>
      <c r="M92" s="326">
        <f>Données!AE92</f>
        <v>0</v>
      </c>
      <c r="N92" s="308">
        <v>0</v>
      </c>
      <c r="O92" s="303">
        <f t="shared" si="14"/>
        <v>687</v>
      </c>
      <c r="P92" s="308">
        <f t="shared" si="22"/>
        <v>1374</v>
      </c>
      <c r="Q92" s="309">
        <f t="shared" si="15"/>
        <v>20663.768175916946</v>
      </c>
      <c r="R92" s="308">
        <f t="shared" si="16"/>
        <v>45273.214471521642</v>
      </c>
      <c r="S92" s="302">
        <f t="shared" si="17"/>
        <v>33661.879595714359</v>
      </c>
      <c r="T92" s="303">
        <f t="shared" si="18"/>
        <v>0</v>
      </c>
      <c r="U92" s="327">
        <f t="shared" si="23"/>
        <v>99598.862243152951</v>
      </c>
    </row>
    <row r="93" spans="1:21" x14ac:dyDescent="0.25">
      <c r="A93" s="111">
        <f>Données!A93</f>
        <v>5553</v>
      </c>
      <c r="B93" s="112" t="str">
        <f>Données!B93</f>
        <v>Champagne</v>
      </c>
      <c r="C93" s="307">
        <f>Données!C93</f>
        <v>1087</v>
      </c>
      <c r="D93" s="303">
        <f t="shared" si="19"/>
        <v>1000</v>
      </c>
      <c r="E93" s="303">
        <f t="shared" si="13"/>
        <v>87</v>
      </c>
      <c r="F93" s="308">
        <f t="shared" si="13"/>
        <v>0</v>
      </c>
      <c r="G93" s="302">
        <f t="shared" si="13"/>
        <v>0</v>
      </c>
      <c r="H93" s="303">
        <f t="shared" si="13"/>
        <v>0</v>
      </c>
      <c r="I93" s="308">
        <f t="shared" si="13"/>
        <v>0</v>
      </c>
      <c r="J93" s="308">
        <f t="shared" si="13"/>
        <v>0</v>
      </c>
      <c r="K93" s="309">
        <f t="shared" si="20"/>
        <v>0</v>
      </c>
      <c r="L93" s="308">
        <f t="shared" si="21"/>
        <v>2261</v>
      </c>
      <c r="M93" s="326">
        <f>Données!AE93</f>
        <v>0</v>
      </c>
      <c r="N93" s="308">
        <v>0</v>
      </c>
      <c r="O93" s="303">
        <f t="shared" si="14"/>
        <v>1087</v>
      </c>
      <c r="P93" s="308">
        <f t="shared" si="22"/>
        <v>2261</v>
      </c>
      <c r="Q93" s="309">
        <f t="shared" si="15"/>
        <v>32695.074246319826</v>
      </c>
      <c r="R93" s="308">
        <f t="shared" si="16"/>
        <v>71633.16467328096</v>
      </c>
      <c r="S93" s="302">
        <f t="shared" si="17"/>
        <v>55392.656307067082</v>
      </c>
      <c r="T93" s="303">
        <f t="shared" si="18"/>
        <v>0</v>
      </c>
      <c r="U93" s="327">
        <f t="shared" si="23"/>
        <v>159720.89522666787</v>
      </c>
    </row>
    <row r="94" spans="1:21" x14ac:dyDescent="0.25">
      <c r="A94" s="111">
        <f>Données!A94</f>
        <v>5554</v>
      </c>
      <c r="B94" s="112" t="str">
        <f>Données!B94</f>
        <v>Concise</v>
      </c>
      <c r="C94" s="307">
        <f>Données!C94</f>
        <v>1035</v>
      </c>
      <c r="D94" s="303">
        <f t="shared" si="19"/>
        <v>1000</v>
      </c>
      <c r="E94" s="303">
        <f t="shared" si="13"/>
        <v>35</v>
      </c>
      <c r="F94" s="308">
        <f t="shared" si="13"/>
        <v>0</v>
      </c>
      <c r="G94" s="302">
        <f t="shared" si="13"/>
        <v>0</v>
      </c>
      <c r="H94" s="303">
        <f t="shared" si="13"/>
        <v>0</v>
      </c>
      <c r="I94" s="308">
        <f t="shared" si="13"/>
        <v>0</v>
      </c>
      <c r="J94" s="308">
        <f t="shared" si="13"/>
        <v>0</v>
      </c>
      <c r="K94" s="309">
        <f t="shared" si="20"/>
        <v>0</v>
      </c>
      <c r="L94" s="308">
        <f t="shared" si="21"/>
        <v>2105</v>
      </c>
      <c r="M94" s="326">
        <f>Données!AE94</f>
        <v>0</v>
      </c>
      <c r="N94" s="308">
        <v>0</v>
      </c>
      <c r="O94" s="303">
        <f t="shared" si="14"/>
        <v>1035</v>
      </c>
      <c r="P94" s="308">
        <f t="shared" si="22"/>
        <v>2105</v>
      </c>
      <c r="Q94" s="309">
        <f t="shared" si="15"/>
        <v>31131.004457167452</v>
      </c>
      <c r="R94" s="308">
        <f t="shared" si="16"/>
        <v>68206.371147052254</v>
      </c>
      <c r="S94" s="302">
        <f t="shared" si="17"/>
        <v>51570.783514540562</v>
      </c>
      <c r="T94" s="303">
        <f t="shared" si="18"/>
        <v>0</v>
      </c>
      <c r="U94" s="327">
        <f t="shared" si="23"/>
        <v>150908.15911876026</v>
      </c>
    </row>
    <row r="95" spans="1:21" x14ac:dyDescent="0.25">
      <c r="A95" s="111">
        <f>Données!A95</f>
        <v>5555</v>
      </c>
      <c r="B95" s="112" t="str">
        <f>Données!B95</f>
        <v>Corcelles-près-Concise</v>
      </c>
      <c r="C95" s="307">
        <f>Données!C95</f>
        <v>439</v>
      </c>
      <c r="D95" s="303">
        <f t="shared" si="19"/>
        <v>439</v>
      </c>
      <c r="E95" s="303">
        <f t="shared" si="13"/>
        <v>0</v>
      </c>
      <c r="F95" s="308">
        <f t="shared" si="13"/>
        <v>0</v>
      </c>
      <c r="G95" s="302">
        <f t="shared" si="13"/>
        <v>0</v>
      </c>
      <c r="H95" s="303">
        <f t="shared" si="13"/>
        <v>0</v>
      </c>
      <c r="I95" s="308">
        <f t="shared" si="13"/>
        <v>0</v>
      </c>
      <c r="J95" s="308">
        <f t="shared" si="13"/>
        <v>0</v>
      </c>
      <c r="K95" s="309">
        <f t="shared" si="20"/>
        <v>0</v>
      </c>
      <c r="L95" s="308">
        <f t="shared" si="21"/>
        <v>878</v>
      </c>
      <c r="M95" s="326">
        <f>Données!AE95</f>
        <v>0</v>
      </c>
      <c r="N95" s="308">
        <v>0</v>
      </c>
      <c r="O95" s="303">
        <f t="shared" si="14"/>
        <v>439</v>
      </c>
      <c r="P95" s="308">
        <f t="shared" si="22"/>
        <v>878</v>
      </c>
      <c r="Q95" s="309">
        <f t="shared" si="15"/>
        <v>13204.35841226716</v>
      </c>
      <c r="R95" s="308">
        <f t="shared" si="16"/>
        <v>28930.045346430859</v>
      </c>
      <c r="S95" s="302">
        <f t="shared" si="17"/>
        <v>21510.284050245424</v>
      </c>
      <c r="T95" s="303">
        <f t="shared" si="18"/>
        <v>0</v>
      </c>
      <c r="U95" s="327">
        <f t="shared" si="23"/>
        <v>63644.687808943447</v>
      </c>
    </row>
    <row r="96" spans="1:21" x14ac:dyDescent="0.25">
      <c r="A96" s="111">
        <f>Données!A96</f>
        <v>5556</v>
      </c>
      <c r="B96" s="112" t="str">
        <f>Données!B96</f>
        <v>Fiez</v>
      </c>
      <c r="C96" s="307">
        <f>Données!C96</f>
        <v>421</v>
      </c>
      <c r="D96" s="303">
        <f t="shared" si="19"/>
        <v>421</v>
      </c>
      <c r="E96" s="303">
        <f t="shared" si="13"/>
        <v>0</v>
      </c>
      <c r="F96" s="308">
        <f t="shared" si="13"/>
        <v>0</v>
      </c>
      <c r="G96" s="302">
        <f t="shared" si="13"/>
        <v>0</v>
      </c>
      <c r="H96" s="303">
        <f t="shared" si="13"/>
        <v>0</v>
      </c>
      <c r="I96" s="308">
        <f t="shared" si="13"/>
        <v>0</v>
      </c>
      <c r="J96" s="308">
        <f t="shared" si="13"/>
        <v>0</v>
      </c>
      <c r="K96" s="309">
        <f t="shared" si="20"/>
        <v>0</v>
      </c>
      <c r="L96" s="308">
        <f t="shared" si="21"/>
        <v>842</v>
      </c>
      <c r="M96" s="326">
        <f>Données!AE96</f>
        <v>0</v>
      </c>
      <c r="N96" s="308">
        <v>0</v>
      </c>
      <c r="O96" s="303">
        <f t="shared" si="14"/>
        <v>421</v>
      </c>
      <c r="P96" s="308">
        <f t="shared" si="22"/>
        <v>842</v>
      </c>
      <c r="Q96" s="309">
        <f t="shared" si="15"/>
        <v>12662.949639099032</v>
      </c>
      <c r="R96" s="308">
        <f t="shared" si="16"/>
        <v>27743.847587351687</v>
      </c>
      <c r="S96" s="302">
        <f t="shared" si="17"/>
        <v>20628.313405816225</v>
      </c>
      <c r="T96" s="303">
        <f t="shared" si="18"/>
        <v>0</v>
      </c>
      <c r="U96" s="327">
        <f t="shared" si="23"/>
        <v>61035.110632266944</v>
      </c>
    </row>
    <row r="97" spans="1:21" x14ac:dyDescent="0.25">
      <c r="A97" s="111">
        <f>Données!A97</f>
        <v>5557</v>
      </c>
      <c r="B97" s="112" t="str">
        <f>Données!B97</f>
        <v>Fontaines-sur-Grandson</v>
      </c>
      <c r="C97" s="307">
        <f>Données!C97</f>
        <v>228</v>
      </c>
      <c r="D97" s="303">
        <f t="shared" si="19"/>
        <v>228</v>
      </c>
      <c r="E97" s="303">
        <f t="shared" si="13"/>
        <v>0</v>
      </c>
      <c r="F97" s="308">
        <f t="shared" si="13"/>
        <v>0</v>
      </c>
      <c r="G97" s="302">
        <f t="shared" si="13"/>
        <v>0</v>
      </c>
      <c r="H97" s="303">
        <f t="shared" si="13"/>
        <v>0</v>
      </c>
      <c r="I97" s="308">
        <f t="shared" si="13"/>
        <v>0</v>
      </c>
      <c r="J97" s="308">
        <f t="shared" si="13"/>
        <v>0</v>
      </c>
      <c r="K97" s="309">
        <f t="shared" si="20"/>
        <v>0</v>
      </c>
      <c r="L97" s="308">
        <f t="shared" si="21"/>
        <v>456</v>
      </c>
      <c r="M97" s="326">
        <f>Données!AE97</f>
        <v>0</v>
      </c>
      <c r="N97" s="308">
        <v>0</v>
      </c>
      <c r="O97" s="303">
        <f t="shared" si="14"/>
        <v>228</v>
      </c>
      <c r="P97" s="308">
        <f t="shared" si="22"/>
        <v>456</v>
      </c>
      <c r="Q97" s="309">
        <f t="shared" si="15"/>
        <v>6857.8444601296414</v>
      </c>
      <c r="R97" s="308">
        <f t="shared" si="16"/>
        <v>15025.171615002815</v>
      </c>
      <c r="S97" s="302">
        <f t="shared" si="17"/>
        <v>11171.628162769832</v>
      </c>
      <c r="T97" s="303">
        <f t="shared" si="18"/>
        <v>0</v>
      </c>
      <c r="U97" s="327">
        <f t="shared" si="23"/>
        <v>33054.644237902292</v>
      </c>
    </row>
    <row r="98" spans="1:21" x14ac:dyDescent="0.25">
      <c r="A98" s="111">
        <f>Données!A98</f>
        <v>5559</v>
      </c>
      <c r="B98" s="112" t="str">
        <f>Données!B98</f>
        <v>Giez</v>
      </c>
      <c r="C98" s="307">
        <f>Données!C98</f>
        <v>464</v>
      </c>
      <c r="D98" s="303">
        <f t="shared" si="19"/>
        <v>464</v>
      </c>
      <c r="E98" s="303">
        <f t="shared" si="13"/>
        <v>0</v>
      </c>
      <c r="F98" s="308">
        <f t="shared" si="13"/>
        <v>0</v>
      </c>
      <c r="G98" s="302">
        <f t="shared" si="13"/>
        <v>0</v>
      </c>
      <c r="H98" s="303">
        <f t="shared" si="13"/>
        <v>0</v>
      </c>
      <c r="I98" s="308">
        <f t="shared" si="13"/>
        <v>0</v>
      </c>
      <c r="J98" s="308">
        <f t="shared" si="13"/>
        <v>0</v>
      </c>
      <c r="K98" s="309">
        <f t="shared" si="20"/>
        <v>0</v>
      </c>
      <c r="L98" s="308">
        <f t="shared" si="21"/>
        <v>928</v>
      </c>
      <c r="M98" s="326">
        <f>Données!AE98</f>
        <v>0</v>
      </c>
      <c r="N98" s="308">
        <v>0</v>
      </c>
      <c r="O98" s="303">
        <f t="shared" si="14"/>
        <v>464</v>
      </c>
      <c r="P98" s="308">
        <f t="shared" si="22"/>
        <v>928</v>
      </c>
      <c r="Q98" s="309">
        <f t="shared" si="15"/>
        <v>13956.315041667342</v>
      </c>
      <c r="R98" s="308">
        <f t="shared" si="16"/>
        <v>30577.542234040815</v>
      </c>
      <c r="S98" s="302">
        <f t="shared" si="17"/>
        <v>22735.243278619306</v>
      </c>
      <c r="T98" s="303">
        <f t="shared" si="18"/>
        <v>0</v>
      </c>
      <c r="U98" s="327">
        <f t="shared" si="23"/>
        <v>67269.100554327466</v>
      </c>
    </row>
    <row r="99" spans="1:21" x14ac:dyDescent="0.25">
      <c r="A99" s="111">
        <f>Données!A99</f>
        <v>5560</v>
      </c>
      <c r="B99" s="112" t="str">
        <f>Données!B99</f>
        <v>Grandevent</v>
      </c>
      <c r="C99" s="307">
        <f>Données!C99</f>
        <v>241</v>
      </c>
      <c r="D99" s="303">
        <f t="shared" si="19"/>
        <v>241</v>
      </c>
      <c r="E99" s="303">
        <f t="shared" si="13"/>
        <v>0</v>
      </c>
      <c r="F99" s="308">
        <f t="shared" si="13"/>
        <v>0</v>
      </c>
      <c r="G99" s="302">
        <f t="shared" si="13"/>
        <v>0</v>
      </c>
      <c r="H99" s="303">
        <f t="shared" si="13"/>
        <v>0</v>
      </c>
      <c r="I99" s="308">
        <f t="shared" si="13"/>
        <v>0</v>
      </c>
      <c r="J99" s="308">
        <f t="shared" si="13"/>
        <v>0</v>
      </c>
      <c r="K99" s="309">
        <f t="shared" si="20"/>
        <v>0</v>
      </c>
      <c r="L99" s="308">
        <f t="shared" si="21"/>
        <v>482</v>
      </c>
      <c r="M99" s="326">
        <f>Données!AE99</f>
        <v>0</v>
      </c>
      <c r="N99" s="308">
        <v>0</v>
      </c>
      <c r="O99" s="303">
        <f t="shared" si="14"/>
        <v>241</v>
      </c>
      <c r="P99" s="308">
        <f t="shared" si="22"/>
        <v>482</v>
      </c>
      <c r="Q99" s="309">
        <f t="shared" si="15"/>
        <v>7248.861907417735</v>
      </c>
      <c r="R99" s="308">
        <f t="shared" si="16"/>
        <v>15881.869996559992</v>
      </c>
      <c r="S99" s="302">
        <f t="shared" si="17"/>
        <v>11808.606961524252</v>
      </c>
      <c r="T99" s="303">
        <f t="shared" si="18"/>
        <v>0</v>
      </c>
      <c r="U99" s="327">
        <f t="shared" si="23"/>
        <v>34939.338865501981</v>
      </c>
    </row>
    <row r="100" spans="1:21" x14ac:dyDescent="0.25">
      <c r="A100" s="111">
        <f>Données!A100</f>
        <v>5561</v>
      </c>
      <c r="B100" s="112" t="str">
        <f>Données!B100</f>
        <v>Grandson</v>
      </c>
      <c r="C100" s="307">
        <f>Données!C100</f>
        <v>3391</v>
      </c>
      <c r="D100" s="303">
        <f t="shared" si="19"/>
        <v>1000</v>
      </c>
      <c r="E100" s="303">
        <f t="shared" si="13"/>
        <v>2000</v>
      </c>
      <c r="F100" s="308">
        <f t="shared" si="13"/>
        <v>391</v>
      </c>
      <c r="G100" s="302">
        <f t="shared" si="13"/>
        <v>0</v>
      </c>
      <c r="H100" s="303">
        <f t="shared" si="13"/>
        <v>0</v>
      </c>
      <c r="I100" s="308">
        <f t="shared" si="13"/>
        <v>0</v>
      </c>
      <c r="J100" s="308">
        <f t="shared" si="13"/>
        <v>0</v>
      </c>
      <c r="K100" s="309">
        <f t="shared" si="20"/>
        <v>0</v>
      </c>
      <c r="L100" s="308">
        <f t="shared" si="21"/>
        <v>9368.5</v>
      </c>
      <c r="M100" s="326">
        <f>Données!AE100</f>
        <v>0</v>
      </c>
      <c r="N100" s="308">
        <v>0</v>
      </c>
      <c r="O100" s="303">
        <f t="shared" si="14"/>
        <v>3391</v>
      </c>
      <c r="P100" s="308">
        <f t="shared" si="22"/>
        <v>9368.5</v>
      </c>
      <c r="Q100" s="309">
        <f t="shared" si="15"/>
        <v>101995.39721184042</v>
      </c>
      <c r="R100" s="308">
        <f t="shared" si="16"/>
        <v>223466.47783541467</v>
      </c>
      <c r="S100" s="302">
        <f t="shared" si="17"/>
        <v>229520.61062041484</v>
      </c>
      <c r="T100" s="303">
        <f t="shared" si="18"/>
        <v>0</v>
      </c>
      <c r="U100" s="327">
        <f t="shared" si="23"/>
        <v>554982.48566766991</v>
      </c>
    </row>
    <row r="101" spans="1:21" x14ac:dyDescent="0.25">
      <c r="A101" s="111">
        <f>Données!A101</f>
        <v>5562</v>
      </c>
      <c r="B101" s="112" t="str">
        <f>Données!B101</f>
        <v>Mauborget</v>
      </c>
      <c r="C101" s="307">
        <f>Données!C101</f>
        <v>137</v>
      </c>
      <c r="D101" s="303">
        <f t="shared" si="19"/>
        <v>137</v>
      </c>
      <c r="E101" s="303">
        <f t="shared" si="13"/>
        <v>0</v>
      </c>
      <c r="F101" s="308">
        <f t="shared" si="13"/>
        <v>0</v>
      </c>
      <c r="G101" s="302">
        <f t="shared" si="13"/>
        <v>0</v>
      </c>
      <c r="H101" s="303">
        <f t="shared" si="13"/>
        <v>0</v>
      </c>
      <c r="I101" s="308">
        <f t="shared" si="13"/>
        <v>0</v>
      </c>
      <c r="J101" s="308">
        <f t="shared" si="13"/>
        <v>0</v>
      </c>
      <c r="K101" s="309">
        <f t="shared" si="20"/>
        <v>0</v>
      </c>
      <c r="L101" s="308">
        <f t="shared" si="21"/>
        <v>274</v>
      </c>
      <c r="M101" s="326">
        <f>Données!AE101</f>
        <v>0</v>
      </c>
      <c r="N101" s="308">
        <v>0</v>
      </c>
      <c r="O101" s="303">
        <f t="shared" si="14"/>
        <v>137</v>
      </c>
      <c r="P101" s="308">
        <f t="shared" si="22"/>
        <v>274</v>
      </c>
      <c r="Q101" s="309">
        <f t="shared" si="15"/>
        <v>4120.7223291129867</v>
      </c>
      <c r="R101" s="308">
        <f t="shared" si="16"/>
        <v>9028.2829441025679</v>
      </c>
      <c r="S101" s="302">
        <f t="shared" si="17"/>
        <v>6712.7765714888901</v>
      </c>
      <c r="T101" s="303">
        <f t="shared" si="18"/>
        <v>0</v>
      </c>
      <c r="U101" s="327">
        <f t="shared" si="23"/>
        <v>19861.781844704445</v>
      </c>
    </row>
    <row r="102" spans="1:21" x14ac:dyDescent="0.25">
      <c r="A102" s="111">
        <f>Données!A102</f>
        <v>5563</v>
      </c>
      <c r="B102" s="112" t="str">
        <f>Données!B102</f>
        <v>Mutrux</v>
      </c>
      <c r="C102" s="307">
        <f>Données!C102</f>
        <v>138</v>
      </c>
      <c r="D102" s="303">
        <f t="shared" si="19"/>
        <v>138</v>
      </c>
      <c r="E102" s="303">
        <f t="shared" si="13"/>
        <v>0</v>
      </c>
      <c r="F102" s="308">
        <f t="shared" si="13"/>
        <v>0</v>
      </c>
      <c r="G102" s="302">
        <f t="shared" si="13"/>
        <v>0</v>
      </c>
      <c r="H102" s="303">
        <f t="shared" si="13"/>
        <v>0</v>
      </c>
      <c r="I102" s="308">
        <f t="shared" si="13"/>
        <v>0</v>
      </c>
      <c r="J102" s="308">
        <f t="shared" si="13"/>
        <v>0</v>
      </c>
      <c r="K102" s="309">
        <f t="shared" si="20"/>
        <v>0</v>
      </c>
      <c r="L102" s="308">
        <f t="shared" si="21"/>
        <v>276</v>
      </c>
      <c r="M102" s="326">
        <f>Données!AE102</f>
        <v>0</v>
      </c>
      <c r="N102" s="308">
        <v>0</v>
      </c>
      <c r="O102" s="303">
        <f t="shared" si="14"/>
        <v>138</v>
      </c>
      <c r="P102" s="308">
        <f t="shared" si="22"/>
        <v>276</v>
      </c>
      <c r="Q102" s="309">
        <f t="shared" si="15"/>
        <v>4150.800594288994</v>
      </c>
      <c r="R102" s="308">
        <f t="shared" si="16"/>
        <v>9094.1828196069673</v>
      </c>
      <c r="S102" s="302">
        <f t="shared" si="17"/>
        <v>6761.7749406238454</v>
      </c>
      <c r="T102" s="303">
        <f t="shared" si="18"/>
        <v>0</v>
      </c>
      <c r="U102" s="327">
        <f t="shared" si="23"/>
        <v>20006.758354519807</v>
      </c>
    </row>
    <row r="103" spans="1:21" x14ac:dyDescent="0.25">
      <c r="A103" s="111">
        <f>Données!A103</f>
        <v>5564</v>
      </c>
      <c r="B103" s="112" t="str">
        <f>Données!B103</f>
        <v>Novalles</v>
      </c>
      <c r="C103" s="307">
        <f>Données!C103</f>
        <v>105</v>
      </c>
      <c r="D103" s="303">
        <f t="shared" si="19"/>
        <v>105</v>
      </c>
      <c r="E103" s="303">
        <f t="shared" si="13"/>
        <v>0</v>
      </c>
      <c r="F103" s="308">
        <f t="shared" si="13"/>
        <v>0</v>
      </c>
      <c r="G103" s="302">
        <f t="shared" si="13"/>
        <v>0</v>
      </c>
      <c r="H103" s="303">
        <f t="shared" si="13"/>
        <v>0</v>
      </c>
      <c r="I103" s="308">
        <f t="shared" si="13"/>
        <v>0</v>
      </c>
      <c r="J103" s="308">
        <f t="shared" si="13"/>
        <v>0</v>
      </c>
      <c r="K103" s="309">
        <f t="shared" si="20"/>
        <v>0</v>
      </c>
      <c r="L103" s="308">
        <f t="shared" si="21"/>
        <v>210</v>
      </c>
      <c r="M103" s="326">
        <f>Données!AE103</f>
        <v>0</v>
      </c>
      <c r="N103" s="308">
        <v>0</v>
      </c>
      <c r="O103" s="303">
        <f t="shared" si="14"/>
        <v>105</v>
      </c>
      <c r="P103" s="308">
        <f t="shared" si="22"/>
        <v>210</v>
      </c>
      <c r="Q103" s="309">
        <f t="shared" si="15"/>
        <v>3158.2178434807561</v>
      </c>
      <c r="R103" s="308">
        <f t="shared" si="16"/>
        <v>6919.4869279618224</v>
      </c>
      <c r="S103" s="302">
        <f t="shared" si="17"/>
        <v>5144.8287591703174</v>
      </c>
      <c r="T103" s="303">
        <f t="shared" si="18"/>
        <v>0</v>
      </c>
      <c r="U103" s="327">
        <f t="shared" si="23"/>
        <v>15222.533530612896</v>
      </c>
    </row>
    <row r="104" spans="1:21" x14ac:dyDescent="0.25">
      <c r="A104" s="111">
        <f>Données!A104</f>
        <v>5565</v>
      </c>
      <c r="B104" s="112" t="str">
        <f>Données!B104</f>
        <v>Onnens</v>
      </c>
      <c r="C104" s="307">
        <f>Données!C104</f>
        <v>527</v>
      </c>
      <c r="D104" s="303">
        <f t="shared" si="19"/>
        <v>527</v>
      </c>
      <c r="E104" s="303">
        <f t="shared" si="13"/>
        <v>0</v>
      </c>
      <c r="F104" s="308">
        <f t="shared" si="13"/>
        <v>0</v>
      </c>
      <c r="G104" s="302">
        <f t="shared" si="13"/>
        <v>0</v>
      </c>
      <c r="H104" s="303">
        <f t="shared" si="13"/>
        <v>0</v>
      </c>
      <c r="I104" s="308">
        <f t="shared" si="13"/>
        <v>0</v>
      </c>
      <c r="J104" s="308">
        <f t="shared" si="13"/>
        <v>0</v>
      </c>
      <c r="K104" s="309">
        <f t="shared" si="20"/>
        <v>0</v>
      </c>
      <c r="L104" s="308">
        <f t="shared" si="21"/>
        <v>1054</v>
      </c>
      <c r="M104" s="326">
        <f>Données!AE104</f>
        <v>0</v>
      </c>
      <c r="N104" s="308">
        <v>0</v>
      </c>
      <c r="O104" s="303">
        <f t="shared" si="14"/>
        <v>527</v>
      </c>
      <c r="P104" s="308">
        <f t="shared" si="22"/>
        <v>1054</v>
      </c>
      <c r="Q104" s="309">
        <f t="shared" si="15"/>
        <v>15851.245747755795</v>
      </c>
      <c r="R104" s="308">
        <f t="shared" si="16"/>
        <v>34729.23439081791</v>
      </c>
      <c r="S104" s="302">
        <f t="shared" si="17"/>
        <v>25822.140534121496</v>
      </c>
      <c r="T104" s="303">
        <f t="shared" si="18"/>
        <v>0</v>
      </c>
      <c r="U104" s="327">
        <f t="shared" si="23"/>
        <v>76402.620672695208</v>
      </c>
    </row>
    <row r="105" spans="1:21" x14ac:dyDescent="0.25">
      <c r="A105" s="111">
        <f>Données!A105</f>
        <v>5566</v>
      </c>
      <c r="B105" s="112" t="str">
        <f>Données!B105</f>
        <v>Provence</v>
      </c>
      <c r="C105" s="307">
        <f>Données!C105</f>
        <v>421</v>
      </c>
      <c r="D105" s="303">
        <f t="shared" si="19"/>
        <v>421</v>
      </c>
      <c r="E105" s="303">
        <f t="shared" si="13"/>
        <v>0</v>
      </c>
      <c r="F105" s="308">
        <f t="shared" si="13"/>
        <v>0</v>
      </c>
      <c r="G105" s="302">
        <f t="shared" si="13"/>
        <v>0</v>
      </c>
      <c r="H105" s="303">
        <f t="shared" si="13"/>
        <v>0</v>
      </c>
      <c r="I105" s="308">
        <f t="shared" si="13"/>
        <v>0</v>
      </c>
      <c r="J105" s="308">
        <f t="shared" si="13"/>
        <v>0</v>
      </c>
      <c r="K105" s="309">
        <f t="shared" si="20"/>
        <v>0</v>
      </c>
      <c r="L105" s="308">
        <f t="shared" si="21"/>
        <v>842</v>
      </c>
      <c r="M105" s="326">
        <f>Données!AE105</f>
        <v>0</v>
      </c>
      <c r="N105" s="308">
        <v>0</v>
      </c>
      <c r="O105" s="303">
        <f t="shared" si="14"/>
        <v>421</v>
      </c>
      <c r="P105" s="308">
        <f t="shared" si="22"/>
        <v>842</v>
      </c>
      <c r="Q105" s="309">
        <f t="shared" si="15"/>
        <v>12662.949639099032</v>
      </c>
      <c r="R105" s="308">
        <f t="shared" si="16"/>
        <v>27743.847587351687</v>
      </c>
      <c r="S105" s="302">
        <f t="shared" si="17"/>
        <v>20628.313405816225</v>
      </c>
      <c r="T105" s="303">
        <f t="shared" si="18"/>
        <v>0</v>
      </c>
      <c r="U105" s="327">
        <f t="shared" si="23"/>
        <v>61035.110632266944</v>
      </c>
    </row>
    <row r="106" spans="1:21" x14ac:dyDescent="0.25">
      <c r="A106" s="111">
        <f>Données!A106</f>
        <v>5568</v>
      </c>
      <c r="B106" s="112" t="str">
        <f>Données!B106</f>
        <v>Sainte-Croix</v>
      </c>
      <c r="C106" s="307">
        <f>Données!C106</f>
        <v>5149</v>
      </c>
      <c r="D106" s="303">
        <f t="shared" si="19"/>
        <v>1000</v>
      </c>
      <c r="E106" s="303">
        <f t="shared" si="13"/>
        <v>2000</v>
      </c>
      <c r="F106" s="308">
        <f t="shared" si="13"/>
        <v>2000</v>
      </c>
      <c r="G106" s="302">
        <f t="shared" si="13"/>
        <v>149</v>
      </c>
      <c r="H106" s="303">
        <f t="shared" si="13"/>
        <v>0</v>
      </c>
      <c r="I106" s="308">
        <f t="shared" si="13"/>
        <v>0</v>
      </c>
      <c r="J106" s="308">
        <f t="shared" si="13"/>
        <v>0</v>
      </c>
      <c r="K106" s="309">
        <f t="shared" si="20"/>
        <v>0</v>
      </c>
      <c r="L106" s="308">
        <f t="shared" si="21"/>
        <v>15596</v>
      </c>
      <c r="M106" s="326">
        <f>Données!AE106</f>
        <v>0</v>
      </c>
      <c r="N106" s="308">
        <v>0</v>
      </c>
      <c r="O106" s="303">
        <f t="shared" si="14"/>
        <v>5149</v>
      </c>
      <c r="P106" s="308">
        <f t="shared" si="22"/>
        <v>15596</v>
      </c>
      <c r="Q106" s="309">
        <f t="shared" si="15"/>
        <v>154872.98739126106</v>
      </c>
      <c r="R106" s="308">
        <f t="shared" si="16"/>
        <v>339318.45897214691</v>
      </c>
      <c r="S106" s="302">
        <f t="shared" si="17"/>
        <v>382089.28251438221</v>
      </c>
      <c r="T106" s="303">
        <f t="shared" si="18"/>
        <v>0</v>
      </c>
      <c r="U106" s="327">
        <f t="shared" si="23"/>
        <v>876280.72887779027</v>
      </c>
    </row>
    <row r="107" spans="1:21" x14ac:dyDescent="0.25">
      <c r="A107" s="111">
        <f>Données!A107</f>
        <v>5571</v>
      </c>
      <c r="B107" s="112" t="str">
        <f>Données!B107</f>
        <v>Tévenon</v>
      </c>
      <c r="C107" s="307">
        <f>Données!C107</f>
        <v>857</v>
      </c>
      <c r="D107" s="303">
        <f t="shared" si="19"/>
        <v>857</v>
      </c>
      <c r="E107" s="303">
        <f t="shared" si="13"/>
        <v>0</v>
      </c>
      <c r="F107" s="308">
        <f t="shared" si="13"/>
        <v>0</v>
      </c>
      <c r="G107" s="302">
        <f t="shared" si="13"/>
        <v>0</v>
      </c>
      <c r="H107" s="303">
        <f t="shared" si="13"/>
        <v>0</v>
      </c>
      <c r="I107" s="308">
        <f t="shared" si="13"/>
        <v>0</v>
      </c>
      <c r="J107" s="308">
        <f t="shared" si="13"/>
        <v>0</v>
      </c>
      <c r="K107" s="309">
        <f t="shared" si="20"/>
        <v>0</v>
      </c>
      <c r="L107" s="308">
        <f t="shared" si="21"/>
        <v>1714</v>
      </c>
      <c r="M107" s="326">
        <f>Données!AE107</f>
        <v>0</v>
      </c>
      <c r="N107" s="308">
        <v>0</v>
      </c>
      <c r="O107" s="303">
        <f t="shared" si="14"/>
        <v>857</v>
      </c>
      <c r="P107" s="308">
        <f t="shared" si="22"/>
        <v>1714</v>
      </c>
      <c r="Q107" s="309">
        <f t="shared" si="15"/>
        <v>25777.073255838171</v>
      </c>
      <c r="R107" s="308">
        <f t="shared" si="16"/>
        <v>56476.19330726935</v>
      </c>
      <c r="S107" s="302">
        <f t="shared" si="17"/>
        <v>41991.602348656779</v>
      </c>
      <c r="T107" s="303">
        <f t="shared" si="18"/>
        <v>0</v>
      </c>
      <c r="U107" s="327">
        <f t="shared" si="23"/>
        <v>124244.86891176429</v>
      </c>
    </row>
    <row r="108" spans="1:21" x14ac:dyDescent="0.25">
      <c r="A108" s="111">
        <f>Données!A108</f>
        <v>5581</v>
      </c>
      <c r="B108" s="112" t="str">
        <f>Données!B108</f>
        <v>Belmont-sur-Lausanne</v>
      </c>
      <c r="C108" s="307">
        <f>Données!C108</f>
        <v>3891</v>
      </c>
      <c r="D108" s="303">
        <f t="shared" si="19"/>
        <v>1000</v>
      </c>
      <c r="E108" s="303">
        <f t="shared" si="13"/>
        <v>2000</v>
      </c>
      <c r="F108" s="308">
        <f t="shared" si="13"/>
        <v>891</v>
      </c>
      <c r="G108" s="302">
        <f t="shared" si="13"/>
        <v>0</v>
      </c>
      <c r="H108" s="303">
        <f t="shared" si="13"/>
        <v>0</v>
      </c>
      <c r="I108" s="308">
        <f t="shared" si="13"/>
        <v>0</v>
      </c>
      <c r="J108" s="308">
        <f t="shared" si="13"/>
        <v>0</v>
      </c>
      <c r="K108" s="309">
        <f t="shared" si="20"/>
        <v>0</v>
      </c>
      <c r="L108" s="308">
        <f t="shared" si="21"/>
        <v>11118.5</v>
      </c>
      <c r="M108" s="326">
        <f>Données!AE108</f>
        <v>1</v>
      </c>
      <c r="N108" s="308">
        <v>1</v>
      </c>
      <c r="O108" s="303">
        <f t="shared" si="14"/>
        <v>0</v>
      </c>
      <c r="P108" s="308">
        <f t="shared" si="22"/>
        <v>0</v>
      </c>
      <c r="Q108" s="309">
        <f t="shared" si="15"/>
        <v>117034.52979984402</v>
      </c>
      <c r="R108" s="308">
        <f t="shared" si="16"/>
        <v>0</v>
      </c>
      <c r="S108" s="302">
        <f t="shared" si="17"/>
        <v>0</v>
      </c>
      <c r="T108" s="303">
        <f t="shared" si="18"/>
        <v>0</v>
      </c>
      <c r="U108" s="327">
        <f t="shared" si="23"/>
        <v>117034.52979984402</v>
      </c>
    </row>
    <row r="109" spans="1:21" x14ac:dyDescent="0.25">
      <c r="A109" s="111">
        <f>Données!A109</f>
        <v>5582</v>
      </c>
      <c r="B109" s="112" t="str">
        <f>Données!B109</f>
        <v>Cheseaux-sur-Lausanne</v>
      </c>
      <c r="C109" s="307">
        <f>Données!C109</f>
        <v>4870</v>
      </c>
      <c r="D109" s="303">
        <f t="shared" si="19"/>
        <v>1000</v>
      </c>
      <c r="E109" s="303">
        <f t="shared" ref="E109:J151" si="24">IF($C109&lt;E$4,0,IF($C109&gt;E$5,E$5-E$4,$C109-E$4))</f>
        <v>2000</v>
      </c>
      <c r="F109" s="308">
        <f t="shared" si="24"/>
        <v>1870</v>
      </c>
      <c r="G109" s="302">
        <f t="shared" si="24"/>
        <v>0</v>
      </c>
      <c r="H109" s="303">
        <f t="shared" si="24"/>
        <v>0</v>
      </c>
      <c r="I109" s="308">
        <f t="shared" si="24"/>
        <v>0</v>
      </c>
      <c r="J109" s="308">
        <f t="shared" si="24"/>
        <v>0</v>
      </c>
      <c r="K109" s="309">
        <f t="shared" si="20"/>
        <v>0</v>
      </c>
      <c r="L109" s="308">
        <f t="shared" si="21"/>
        <v>14545</v>
      </c>
      <c r="M109" s="326">
        <f>Données!AE109</f>
        <v>0</v>
      </c>
      <c r="N109" s="308">
        <v>0</v>
      </c>
      <c r="O109" s="303">
        <f t="shared" si="14"/>
        <v>4870</v>
      </c>
      <c r="P109" s="308">
        <f t="shared" si="22"/>
        <v>14545</v>
      </c>
      <c r="Q109" s="309">
        <f t="shared" si="15"/>
        <v>146481.15140715506</v>
      </c>
      <c r="R109" s="308">
        <f t="shared" si="16"/>
        <v>320932.3937064198</v>
      </c>
      <c r="S109" s="302">
        <f t="shared" si="17"/>
        <v>356340.63953396317</v>
      </c>
      <c r="T109" s="303">
        <f t="shared" si="18"/>
        <v>0</v>
      </c>
      <c r="U109" s="327">
        <f t="shared" si="23"/>
        <v>823754.184647538</v>
      </c>
    </row>
    <row r="110" spans="1:21" x14ac:dyDescent="0.25">
      <c r="A110" s="111">
        <f>Données!A110</f>
        <v>5583</v>
      </c>
      <c r="B110" s="112" t="str">
        <f>Données!B110</f>
        <v>Crissier</v>
      </c>
      <c r="C110" s="307">
        <f>Données!C110</f>
        <v>11116</v>
      </c>
      <c r="D110" s="303">
        <f t="shared" si="19"/>
        <v>1000</v>
      </c>
      <c r="E110" s="303">
        <f t="shared" si="24"/>
        <v>2000</v>
      </c>
      <c r="F110" s="308">
        <f t="shared" si="24"/>
        <v>2000</v>
      </c>
      <c r="G110" s="302">
        <f t="shared" si="24"/>
        <v>6116</v>
      </c>
      <c r="H110" s="303">
        <f t="shared" si="24"/>
        <v>0</v>
      </c>
      <c r="I110" s="308">
        <f t="shared" si="24"/>
        <v>0</v>
      </c>
      <c r="J110" s="308">
        <f t="shared" si="24"/>
        <v>0</v>
      </c>
      <c r="K110" s="309">
        <f t="shared" si="20"/>
        <v>0</v>
      </c>
      <c r="L110" s="308">
        <f t="shared" si="21"/>
        <v>39464</v>
      </c>
      <c r="M110" s="326">
        <f>Données!AE110</f>
        <v>1</v>
      </c>
      <c r="N110" s="308">
        <v>1</v>
      </c>
      <c r="O110" s="303">
        <f t="shared" si="14"/>
        <v>0</v>
      </c>
      <c r="P110" s="308">
        <f t="shared" si="22"/>
        <v>0</v>
      </c>
      <c r="Q110" s="309">
        <f t="shared" si="15"/>
        <v>334349.99569649604</v>
      </c>
      <c r="R110" s="308">
        <f t="shared" si="16"/>
        <v>0</v>
      </c>
      <c r="S110" s="302">
        <f t="shared" si="17"/>
        <v>0</v>
      </c>
      <c r="T110" s="303">
        <f t="shared" si="18"/>
        <v>0</v>
      </c>
      <c r="U110" s="327">
        <f t="shared" si="23"/>
        <v>334349.99569649604</v>
      </c>
    </row>
    <row r="111" spans="1:21" x14ac:dyDescent="0.25">
      <c r="A111" s="111">
        <f>Données!A111</f>
        <v>5584</v>
      </c>
      <c r="B111" s="112" t="str">
        <f>Données!B111</f>
        <v>Epalinges</v>
      </c>
      <c r="C111" s="307">
        <f>Données!C111</f>
        <v>9869</v>
      </c>
      <c r="D111" s="303">
        <f t="shared" si="19"/>
        <v>1000</v>
      </c>
      <c r="E111" s="303">
        <f t="shared" si="24"/>
        <v>2000</v>
      </c>
      <c r="F111" s="308">
        <f t="shared" si="24"/>
        <v>2000</v>
      </c>
      <c r="G111" s="302">
        <f t="shared" si="24"/>
        <v>4869</v>
      </c>
      <c r="H111" s="303">
        <f t="shared" si="24"/>
        <v>0</v>
      </c>
      <c r="I111" s="308">
        <f t="shared" si="24"/>
        <v>0</v>
      </c>
      <c r="J111" s="308">
        <f t="shared" si="24"/>
        <v>0</v>
      </c>
      <c r="K111" s="309">
        <f t="shared" si="20"/>
        <v>0</v>
      </c>
      <c r="L111" s="308">
        <f t="shared" si="21"/>
        <v>34476</v>
      </c>
      <c r="M111" s="326">
        <f>Données!AE111</f>
        <v>0</v>
      </c>
      <c r="N111" s="308">
        <v>0</v>
      </c>
      <c r="O111" s="303">
        <f t="shared" si="14"/>
        <v>9869</v>
      </c>
      <c r="P111" s="308">
        <f t="shared" si="22"/>
        <v>34476</v>
      </c>
      <c r="Q111" s="309">
        <f t="shared" si="15"/>
        <v>296842.39902201504</v>
      </c>
      <c r="R111" s="308">
        <f t="shared" si="16"/>
        <v>650365.87135290692</v>
      </c>
      <c r="S111" s="302">
        <f t="shared" si="17"/>
        <v>844633.8871483613</v>
      </c>
      <c r="T111" s="303">
        <f t="shared" si="18"/>
        <v>0</v>
      </c>
      <c r="U111" s="327">
        <f t="shared" si="23"/>
        <v>1791842.1575232833</v>
      </c>
    </row>
    <row r="112" spans="1:21" x14ac:dyDescent="0.25">
      <c r="A112" s="111">
        <f>Données!A112</f>
        <v>5585</v>
      </c>
      <c r="B112" s="112" t="str">
        <f>Données!B112</f>
        <v>Jouxtens-Mézery</v>
      </c>
      <c r="C112" s="307">
        <f>Données!C112</f>
        <v>1455</v>
      </c>
      <c r="D112" s="303">
        <f t="shared" si="19"/>
        <v>1000</v>
      </c>
      <c r="E112" s="303">
        <f t="shared" si="24"/>
        <v>455</v>
      </c>
      <c r="F112" s="308">
        <f t="shared" si="24"/>
        <v>0</v>
      </c>
      <c r="G112" s="302">
        <f t="shared" si="24"/>
        <v>0</v>
      </c>
      <c r="H112" s="303">
        <f t="shared" si="24"/>
        <v>0</v>
      </c>
      <c r="I112" s="308">
        <f t="shared" si="24"/>
        <v>0</v>
      </c>
      <c r="J112" s="308">
        <f t="shared" si="24"/>
        <v>0</v>
      </c>
      <c r="K112" s="309">
        <f t="shared" si="20"/>
        <v>0</v>
      </c>
      <c r="L112" s="308">
        <f t="shared" si="21"/>
        <v>3365</v>
      </c>
      <c r="M112" s="326">
        <f>Données!AE112</f>
        <v>0</v>
      </c>
      <c r="N112" s="308">
        <v>0</v>
      </c>
      <c r="O112" s="303">
        <f t="shared" si="14"/>
        <v>1455</v>
      </c>
      <c r="P112" s="308">
        <f t="shared" si="22"/>
        <v>3365</v>
      </c>
      <c r="Q112" s="309">
        <f t="shared" si="15"/>
        <v>43763.875831090474</v>
      </c>
      <c r="R112" s="308">
        <f t="shared" si="16"/>
        <v>95884.31885889954</v>
      </c>
      <c r="S112" s="302">
        <f t="shared" si="17"/>
        <v>82439.756069562471</v>
      </c>
      <c r="T112" s="303">
        <f t="shared" si="18"/>
        <v>0</v>
      </c>
      <c r="U112" s="327">
        <f t="shared" si="23"/>
        <v>222087.95075955248</v>
      </c>
    </row>
    <row r="113" spans="1:21" x14ac:dyDescent="0.25">
      <c r="A113" s="111">
        <f>Données!A113</f>
        <v>5586</v>
      </c>
      <c r="B113" s="112" t="str">
        <f>Données!B113</f>
        <v>Lausanne</v>
      </c>
      <c r="C113" s="307">
        <f>Données!C113</f>
        <v>145707</v>
      </c>
      <c r="D113" s="303">
        <f t="shared" si="19"/>
        <v>1000</v>
      </c>
      <c r="E113" s="303">
        <f t="shared" si="24"/>
        <v>2000</v>
      </c>
      <c r="F113" s="308">
        <f t="shared" si="24"/>
        <v>2000</v>
      </c>
      <c r="G113" s="302">
        <f t="shared" si="24"/>
        <v>7000</v>
      </c>
      <c r="H113" s="303">
        <f t="shared" si="24"/>
        <v>3000</v>
      </c>
      <c r="I113" s="308">
        <f t="shared" si="24"/>
        <v>15000</v>
      </c>
      <c r="J113" s="308">
        <f t="shared" si="24"/>
        <v>15000</v>
      </c>
      <c r="K113" s="309">
        <f t="shared" si="20"/>
        <v>100707</v>
      </c>
      <c r="L113" s="308">
        <f t="shared" si="21"/>
        <v>1058656</v>
      </c>
      <c r="M113" s="326">
        <f>Données!AE113</f>
        <v>1</v>
      </c>
      <c r="N113" s="308">
        <v>1</v>
      </c>
      <c r="O113" s="303">
        <f t="shared" si="14"/>
        <v>0</v>
      </c>
      <c r="P113" s="308">
        <f t="shared" si="22"/>
        <v>0</v>
      </c>
      <c r="Q113" s="309">
        <f t="shared" si="15"/>
        <v>4382613.7840004815</v>
      </c>
      <c r="R113" s="308">
        <f t="shared" si="16"/>
        <v>0</v>
      </c>
      <c r="S113" s="302">
        <f t="shared" si="17"/>
        <v>0</v>
      </c>
      <c r="T113" s="303">
        <f t="shared" si="18"/>
        <v>0</v>
      </c>
      <c r="U113" s="327">
        <f t="shared" si="23"/>
        <v>4382613.7840004815</v>
      </c>
    </row>
    <row r="114" spans="1:21" x14ac:dyDescent="0.25">
      <c r="A114" s="111">
        <f>Données!A114</f>
        <v>5587</v>
      </c>
      <c r="B114" s="112" t="str">
        <f>Données!B114</f>
        <v>Le Mont-sur-Lausanne</v>
      </c>
      <c r="C114" s="307">
        <f>Données!C114</f>
        <v>9785</v>
      </c>
      <c r="D114" s="303">
        <f t="shared" si="19"/>
        <v>1000</v>
      </c>
      <c r="E114" s="303">
        <f t="shared" si="24"/>
        <v>2000</v>
      </c>
      <c r="F114" s="308">
        <f t="shared" si="24"/>
        <v>2000</v>
      </c>
      <c r="G114" s="302">
        <f t="shared" si="24"/>
        <v>4785</v>
      </c>
      <c r="H114" s="303">
        <f t="shared" si="24"/>
        <v>0</v>
      </c>
      <c r="I114" s="308">
        <f t="shared" si="24"/>
        <v>0</v>
      </c>
      <c r="J114" s="308">
        <f t="shared" si="24"/>
        <v>0</v>
      </c>
      <c r="K114" s="309">
        <f t="shared" si="20"/>
        <v>0</v>
      </c>
      <c r="L114" s="308">
        <f t="shared" si="21"/>
        <v>34140</v>
      </c>
      <c r="M114" s="326">
        <f>Données!AE114</f>
        <v>0</v>
      </c>
      <c r="N114" s="308">
        <v>0</v>
      </c>
      <c r="O114" s="303">
        <f t="shared" si="14"/>
        <v>9785</v>
      </c>
      <c r="P114" s="308">
        <f t="shared" si="22"/>
        <v>34140</v>
      </c>
      <c r="Q114" s="309">
        <f t="shared" si="15"/>
        <v>294315.82474723045</v>
      </c>
      <c r="R114" s="308">
        <f t="shared" si="16"/>
        <v>644830.28181053745</v>
      </c>
      <c r="S114" s="302">
        <f t="shared" si="17"/>
        <v>836402.16113368876</v>
      </c>
      <c r="T114" s="303">
        <f t="shared" si="18"/>
        <v>0</v>
      </c>
      <c r="U114" s="327">
        <f t="shared" si="23"/>
        <v>1775548.2676914567</v>
      </c>
    </row>
    <row r="115" spans="1:21" x14ac:dyDescent="0.25">
      <c r="A115" s="111">
        <f>Données!A115</f>
        <v>5588</v>
      </c>
      <c r="B115" s="112" t="str">
        <f>Données!B115</f>
        <v>Paudex</v>
      </c>
      <c r="C115" s="307">
        <f>Données!C115</f>
        <v>1483</v>
      </c>
      <c r="D115" s="303">
        <f t="shared" si="19"/>
        <v>1000</v>
      </c>
      <c r="E115" s="303">
        <f t="shared" si="24"/>
        <v>483</v>
      </c>
      <c r="F115" s="308">
        <f t="shared" si="24"/>
        <v>0</v>
      </c>
      <c r="G115" s="302">
        <f t="shared" si="24"/>
        <v>0</v>
      </c>
      <c r="H115" s="303">
        <f t="shared" si="24"/>
        <v>0</v>
      </c>
      <c r="I115" s="308">
        <f t="shared" si="24"/>
        <v>0</v>
      </c>
      <c r="J115" s="308">
        <f t="shared" si="24"/>
        <v>0</v>
      </c>
      <c r="K115" s="309">
        <f t="shared" si="20"/>
        <v>0</v>
      </c>
      <c r="L115" s="308">
        <f t="shared" si="21"/>
        <v>3449</v>
      </c>
      <c r="M115" s="326">
        <f>Données!AE115</f>
        <v>1</v>
      </c>
      <c r="N115" s="308">
        <v>1</v>
      </c>
      <c r="O115" s="303">
        <f t="shared" si="14"/>
        <v>0</v>
      </c>
      <c r="P115" s="308">
        <f t="shared" si="22"/>
        <v>0</v>
      </c>
      <c r="Q115" s="309">
        <f t="shared" si="15"/>
        <v>44606.067256018679</v>
      </c>
      <c r="R115" s="308">
        <f t="shared" si="16"/>
        <v>0</v>
      </c>
      <c r="S115" s="302">
        <f t="shared" si="17"/>
        <v>0</v>
      </c>
      <c r="T115" s="303">
        <f t="shared" si="18"/>
        <v>0</v>
      </c>
      <c r="U115" s="327">
        <f t="shared" si="23"/>
        <v>44606.067256018679</v>
      </c>
    </row>
    <row r="116" spans="1:21" x14ac:dyDescent="0.25">
      <c r="A116" s="111">
        <f>Données!A116</f>
        <v>5589</v>
      </c>
      <c r="B116" s="112" t="str">
        <f>Données!B116</f>
        <v>Prilly</v>
      </c>
      <c r="C116" s="307">
        <f>Données!C116</f>
        <v>13069</v>
      </c>
      <c r="D116" s="303">
        <f t="shared" si="19"/>
        <v>1000</v>
      </c>
      <c r="E116" s="303">
        <f t="shared" si="24"/>
        <v>2000</v>
      </c>
      <c r="F116" s="308">
        <f t="shared" si="24"/>
        <v>2000</v>
      </c>
      <c r="G116" s="302">
        <f t="shared" si="24"/>
        <v>7000</v>
      </c>
      <c r="H116" s="303">
        <f t="shared" si="24"/>
        <v>1069</v>
      </c>
      <c r="I116" s="308">
        <f t="shared" si="24"/>
        <v>0</v>
      </c>
      <c r="J116" s="308">
        <f t="shared" si="24"/>
        <v>0</v>
      </c>
      <c r="K116" s="309">
        <f t="shared" si="20"/>
        <v>0</v>
      </c>
      <c r="L116" s="308">
        <f t="shared" si="21"/>
        <v>48345</v>
      </c>
      <c r="M116" s="326">
        <f>Données!AE116</f>
        <v>1</v>
      </c>
      <c r="N116" s="308">
        <v>1</v>
      </c>
      <c r="O116" s="303">
        <f t="shared" si="14"/>
        <v>0</v>
      </c>
      <c r="P116" s="308">
        <f t="shared" si="22"/>
        <v>0</v>
      </c>
      <c r="Q116" s="309">
        <f t="shared" si="15"/>
        <v>393092.84758523811</v>
      </c>
      <c r="R116" s="308">
        <f t="shared" si="16"/>
        <v>0</v>
      </c>
      <c r="S116" s="302">
        <f t="shared" si="17"/>
        <v>0</v>
      </c>
      <c r="T116" s="303">
        <f t="shared" si="18"/>
        <v>0</v>
      </c>
      <c r="U116" s="327">
        <f t="shared" si="23"/>
        <v>393092.84758523811</v>
      </c>
    </row>
    <row r="117" spans="1:21" x14ac:dyDescent="0.25">
      <c r="A117" s="111">
        <f>Données!A117</f>
        <v>5590</v>
      </c>
      <c r="B117" s="112" t="str">
        <f>Données!B117</f>
        <v>Pully</v>
      </c>
      <c r="C117" s="307">
        <f>Données!C117</f>
        <v>19550</v>
      </c>
      <c r="D117" s="303">
        <f t="shared" si="19"/>
        <v>1000</v>
      </c>
      <c r="E117" s="303">
        <f t="shared" si="24"/>
        <v>2000</v>
      </c>
      <c r="F117" s="308">
        <f t="shared" si="24"/>
        <v>2000</v>
      </c>
      <c r="G117" s="302">
        <f t="shared" si="24"/>
        <v>7000</v>
      </c>
      <c r="H117" s="303">
        <f t="shared" si="24"/>
        <v>3000</v>
      </c>
      <c r="I117" s="308">
        <f t="shared" si="24"/>
        <v>4550</v>
      </c>
      <c r="J117" s="308">
        <f t="shared" si="24"/>
        <v>0</v>
      </c>
      <c r="K117" s="309">
        <f t="shared" si="20"/>
        <v>0</v>
      </c>
      <c r="L117" s="308">
        <f t="shared" si="21"/>
        <v>85300</v>
      </c>
      <c r="M117" s="326">
        <f>Données!AE117</f>
        <v>1</v>
      </c>
      <c r="N117" s="308">
        <v>1</v>
      </c>
      <c r="O117" s="303">
        <f t="shared" si="14"/>
        <v>0</v>
      </c>
      <c r="P117" s="308">
        <f t="shared" si="22"/>
        <v>0</v>
      </c>
      <c r="Q117" s="309">
        <f t="shared" si="15"/>
        <v>588030.08419094072</v>
      </c>
      <c r="R117" s="308">
        <f t="shared" si="16"/>
        <v>0</v>
      </c>
      <c r="S117" s="302">
        <f t="shared" si="17"/>
        <v>0</v>
      </c>
      <c r="T117" s="303">
        <f t="shared" si="18"/>
        <v>0</v>
      </c>
      <c r="U117" s="327">
        <f t="shared" si="23"/>
        <v>588030.08419094072</v>
      </c>
    </row>
    <row r="118" spans="1:21" x14ac:dyDescent="0.25">
      <c r="A118" s="111">
        <f>Données!A118</f>
        <v>5591</v>
      </c>
      <c r="B118" s="112" t="str">
        <f>Données!B118</f>
        <v>Renens</v>
      </c>
      <c r="C118" s="307">
        <f>Données!C118</f>
        <v>21827</v>
      </c>
      <c r="D118" s="303">
        <f t="shared" si="19"/>
        <v>1000</v>
      </c>
      <c r="E118" s="303">
        <f t="shared" si="24"/>
        <v>2000</v>
      </c>
      <c r="F118" s="308">
        <f t="shared" si="24"/>
        <v>2000</v>
      </c>
      <c r="G118" s="302">
        <f t="shared" si="24"/>
        <v>7000</v>
      </c>
      <c r="H118" s="303">
        <f t="shared" si="24"/>
        <v>3000</v>
      </c>
      <c r="I118" s="308">
        <f t="shared" si="24"/>
        <v>6827</v>
      </c>
      <c r="J118" s="308">
        <f t="shared" si="24"/>
        <v>0</v>
      </c>
      <c r="K118" s="309">
        <f t="shared" si="20"/>
        <v>0</v>
      </c>
      <c r="L118" s="308">
        <f t="shared" si="21"/>
        <v>98962</v>
      </c>
      <c r="M118" s="326">
        <f>Données!AE118</f>
        <v>1</v>
      </c>
      <c r="N118" s="308">
        <v>1</v>
      </c>
      <c r="O118" s="303">
        <f t="shared" si="14"/>
        <v>0</v>
      </c>
      <c r="P118" s="308">
        <f t="shared" si="22"/>
        <v>0</v>
      </c>
      <c r="Q118" s="309">
        <f t="shared" si="15"/>
        <v>656518.29399670917</v>
      </c>
      <c r="R118" s="308">
        <f t="shared" si="16"/>
        <v>0</v>
      </c>
      <c r="S118" s="302">
        <f t="shared" si="17"/>
        <v>0</v>
      </c>
      <c r="T118" s="303">
        <f t="shared" si="18"/>
        <v>0</v>
      </c>
      <c r="U118" s="327">
        <f t="shared" si="23"/>
        <v>656518.29399670917</v>
      </c>
    </row>
    <row r="119" spans="1:21" x14ac:dyDescent="0.25">
      <c r="A119" s="111">
        <f>Données!A119</f>
        <v>5592</v>
      </c>
      <c r="B119" s="112" t="str">
        <f>Données!B119</f>
        <v>Romanel-sur-Lausanne</v>
      </c>
      <c r="C119" s="307">
        <f>Données!C119</f>
        <v>4331</v>
      </c>
      <c r="D119" s="303">
        <f t="shared" si="19"/>
        <v>1000</v>
      </c>
      <c r="E119" s="303">
        <f t="shared" si="24"/>
        <v>2000</v>
      </c>
      <c r="F119" s="308">
        <f t="shared" si="24"/>
        <v>1331</v>
      </c>
      <c r="G119" s="302">
        <f t="shared" si="24"/>
        <v>0</v>
      </c>
      <c r="H119" s="303">
        <f t="shared" si="24"/>
        <v>0</v>
      </c>
      <c r="I119" s="308">
        <f t="shared" si="24"/>
        <v>0</v>
      </c>
      <c r="J119" s="308">
        <f t="shared" si="24"/>
        <v>0</v>
      </c>
      <c r="K119" s="309">
        <f t="shared" si="20"/>
        <v>0</v>
      </c>
      <c r="L119" s="308">
        <f t="shared" si="21"/>
        <v>12658.5</v>
      </c>
      <c r="M119" s="326">
        <f>Données!AE119</f>
        <v>0</v>
      </c>
      <c r="N119" s="308">
        <v>0</v>
      </c>
      <c r="O119" s="303">
        <f t="shared" si="14"/>
        <v>4331</v>
      </c>
      <c r="P119" s="308">
        <f t="shared" si="22"/>
        <v>12658.5</v>
      </c>
      <c r="Q119" s="309">
        <f t="shared" si="15"/>
        <v>130268.96647728718</v>
      </c>
      <c r="R119" s="308">
        <f t="shared" si="16"/>
        <v>285412.36080954911</v>
      </c>
      <c r="S119" s="302">
        <f t="shared" si="17"/>
        <v>310122.92784741649</v>
      </c>
      <c r="T119" s="303">
        <f t="shared" si="18"/>
        <v>0</v>
      </c>
      <c r="U119" s="327">
        <f t="shared" si="23"/>
        <v>725804.25513425283</v>
      </c>
    </row>
    <row r="120" spans="1:21" x14ac:dyDescent="0.25">
      <c r="A120" s="111">
        <f>Données!A120</f>
        <v>5601</v>
      </c>
      <c r="B120" s="112" t="str">
        <f>Données!B120</f>
        <v>Chexbres</v>
      </c>
      <c r="C120" s="307">
        <f>Données!C120</f>
        <v>2272</v>
      </c>
      <c r="D120" s="303">
        <f t="shared" si="19"/>
        <v>1000</v>
      </c>
      <c r="E120" s="303">
        <f t="shared" si="24"/>
        <v>1272</v>
      </c>
      <c r="F120" s="308">
        <f t="shared" si="24"/>
        <v>0</v>
      </c>
      <c r="G120" s="302">
        <f t="shared" si="24"/>
        <v>0</v>
      </c>
      <c r="H120" s="303">
        <f t="shared" si="24"/>
        <v>0</v>
      </c>
      <c r="I120" s="308">
        <f t="shared" si="24"/>
        <v>0</v>
      </c>
      <c r="J120" s="308">
        <f t="shared" si="24"/>
        <v>0</v>
      </c>
      <c r="K120" s="309">
        <f t="shared" si="20"/>
        <v>0</v>
      </c>
      <c r="L120" s="308">
        <f t="shared" si="21"/>
        <v>5816</v>
      </c>
      <c r="M120" s="326">
        <f>Données!AE120</f>
        <v>1</v>
      </c>
      <c r="N120" s="308">
        <v>1</v>
      </c>
      <c r="O120" s="303">
        <f t="shared" si="14"/>
        <v>0</v>
      </c>
      <c r="P120" s="308">
        <f t="shared" si="22"/>
        <v>0</v>
      </c>
      <c r="Q120" s="309">
        <f t="shared" si="15"/>
        <v>68337.818479888359</v>
      </c>
      <c r="R120" s="308">
        <f t="shared" si="16"/>
        <v>0</v>
      </c>
      <c r="S120" s="302">
        <f t="shared" si="17"/>
        <v>0</v>
      </c>
      <c r="T120" s="303">
        <f t="shared" si="18"/>
        <v>0</v>
      </c>
      <c r="U120" s="327">
        <f t="shared" si="23"/>
        <v>68337.818479888359</v>
      </c>
    </row>
    <row r="121" spans="1:21" x14ac:dyDescent="0.25">
      <c r="A121" s="111">
        <f>Données!A121</f>
        <v>5604</v>
      </c>
      <c r="B121" s="112" t="str">
        <f>Données!B121</f>
        <v>Forel (Lavaux)</v>
      </c>
      <c r="C121" s="307">
        <f>Données!C121</f>
        <v>2113</v>
      </c>
      <c r="D121" s="303">
        <f t="shared" si="19"/>
        <v>1000</v>
      </c>
      <c r="E121" s="303">
        <f t="shared" si="24"/>
        <v>1113</v>
      </c>
      <c r="F121" s="308">
        <f t="shared" si="24"/>
        <v>0</v>
      </c>
      <c r="G121" s="302">
        <f t="shared" si="24"/>
        <v>0</v>
      </c>
      <c r="H121" s="303">
        <f t="shared" si="24"/>
        <v>0</v>
      </c>
      <c r="I121" s="308">
        <f t="shared" si="24"/>
        <v>0</v>
      </c>
      <c r="J121" s="308">
        <f t="shared" si="24"/>
        <v>0</v>
      </c>
      <c r="K121" s="309">
        <f t="shared" si="20"/>
        <v>0</v>
      </c>
      <c r="L121" s="308">
        <f t="shared" si="21"/>
        <v>5339</v>
      </c>
      <c r="M121" s="326">
        <f>Données!AE121</f>
        <v>0</v>
      </c>
      <c r="N121" s="308">
        <v>0</v>
      </c>
      <c r="O121" s="303">
        <f t="shared" si="14"/>
        <v>2113</v>
      </c>
      <c r="P121" s="308">
        <f t="shared" si="22"/>
        <v>5339</v>
      </c>
      <c r="Q121" s="309">
        <f t="shared" si="15"/>
        <v>63555.374316903217</v>
      </c>
      <c r="R121" s="308">
        <f t="shared" si="16"/>
        <v>139246.43694079362</v>
      </c>
      <c r="S121" s="302">
        <f t="shared" si="17"/>
        <v>130801.14640576344</v>
      </c>
      <c r="T121" s="303">
        <f t="shared" si="18"/>
        <v>0</v>
      </c>
      <c r="U121" s="327">
        <f t="shared" si="23"/>
        <v>333602.95766346029</v>
      </c>
    </row>
    <row r="122" spans="1:21" x14ac:dyDescent="0.25">
      <c r="A122" s="111">
        <f>Données!A122</f>
        <v>5606</v>
      </c>
      <c r="B122" s="112" t="str">
        <f>Données!B122</f>
        <v>Lutry</v>
      </c>
      <c r="C122" s="307">
        <f>Données!C122</f>
        <v>10843</v>
      </c>
      <c r="D122" s="303">
        <f t="shared" si="19"/>
        <v>1000</v>
      </c>
      <c r="E122" s="303">
        <f t="shared" si="24"/>
        <v>2000</v>
      </c>
      <c r="F122" s="308">
        <f t="shared" si="24"/>
        <v>2000</v>
      </c>
      <c r="G122" s="302">
        <f t="shared" si="24"/>
        <v>5843</v>
      </c>
      <c r="H122" s="303">
        <f t="shared" si="24"/>
        <v>0</v>
      </c>
      <c r="I122" s="308">
        <f t="shared" si="24"/>
        <v>0</v>
      </c>
      <c r="J122" s="308">
        <f t="shared" si="24"/>
        <v>0</v>
      </c>
      <c r="K122" s="309">
        <f t="shared" si="20"/>
        <v>0</v>
      </c>
      <c r="L122" s="308">
        <f t="shared" si="21"/>
        <v>38372</v>
      </c>
      <c r="M122" s="326">
        <f>Données!AE122</f>
        <v>1</v>
      </c>
      <c r="N122" s="308">
        <v>1</v>
      </c>
      <c r="O122" s="303">
        <f t="shared" si="14"/>
        <v>0</v>
      </c>
      <c r="P122" s="308">
        <f t="shared" si="22"/>
        <v>0</v>
      </c>
      <c r="Q122" s="309">
        <f t="shared" si="15"/>
        <v>326138.6293034461</v>
      </c>
      <c r="R122" s="308">
        <f t="shared" si="16"/>
        <v>0</v>
      </c>
      <c r="S122" s="302">
        <f t="shared" si="17"/>
        <v>0</v>
      </c>
      <c r="T122" s="303">
        <f t="shared" si="18"/>
        <v>0</v>
      </c>
      <c r="U122" s="327">
        <f t="shared" si="23"/>
        <v>326138.6293034461</v>
      </c>
    </row>
    <row r="123" spans="1:21" x14ac:dyDescent="0.25">
      <c r="A123" s="111">
        <f>Données!A123</f>
        <v>5607</v>
      </c>
      <c r="B123" s="112" t="str">
        <f>Données!B123</f>
        <v>Puidoux</v>
      </c>
      <c r="C123" s="307">
        <f>Données!C123</f>
        <v>3014</v>
      </c>
      <c r="D123" s="303">
        <f t="shared" si="19"/>
        <v>1000</v>
      </c>
      <c r="E123" s="303">
        <f t="shared" si="24"/>
        <v>2000</v>
      </c>
      <c r="F123" s="308">
        <f t="shared" si="24"/>
        <v>14</v>
      </c>
      <c r="G123" s="302">
        <f t="shared" si="24"/>
        <v>0</v>
      </c>
      <c r="H123" s="303">
        <f t="shared" si="24"/>
        <v>0</v>
      </c>
      <c r="I123" s="308">
        <f t="shared" si="24"/>
        <v>0</v>
      </c>
      <c r="J123" s="308">
        <f t="shared" si="24"/>
        <v>0</v>
      </c>
      <c r="K123" s="309">
        <f t="shared" si="20"/>
        <v>0</v>
      </c>
      <c r="L123" s="308">
        <f t="shared" si="21"/>
        <v>8049</v>
      </c>
      <c r="M123" s="326">
        <f>Données!AE123</f>
        <v>1</v>
      </c>
      <c r="N123" s="308">
        <v>1</v>
      </c>
      <c r="O123" s="303">
        <f t="shared" si="14"/>
        <v>0</v>
      </c>
      <c r="P123" s="308">
        <f t="shared" si="22"/>
        <v>0</v>
      </c>
      <c r="Q123" s="309">
        <f t="shared" si="15"/>
        <v>90655.891240485696</v>
      </c>
      <c r="R123" s="308">
        <f t="shared" si="16"/>
        <v>0</v>
      </c>
      <c r="S123" s="302">
        <f t="shared" si="17"/>
        <v>0</v>
      </c>
      <c r="T123" s="303">
        <f t="shared" si="18"/>
        <v>0</v>
      </c>
      <c r="U123" s="327">
        <f t="shared" si="23"/>
        <v>90655.891240485696</v>
      </c>
    </row>
    <row r="124" spans="1:21" x14ac:dyDescent="0.25">
      <c r="A124" s="111">
        <f>Données!A124</f>
        <v>5609</v>
      </c>
      <c r="B124" s="112" t="str">
        <f>Données!B124</f>
        <v>Rivaz</v>
      </c>
      <c r="C124" s="307">
        <f>Données!C124</f>
        <v>330</v>
      </c>
      <c r="D124" s="303">
        <f t="shared" si="19"/>
        <v>330</v>
      </c>
      <c r="E124" s="303">
        <f t="shared" si="24"/>
        <v>0</v>
      </c>
      <c r="F124" s="308">
        <f t="shared" si="24"/>
        <v>0</v>
      </c>
      <c r="G124" s="302">
        <f t="shared" si="24"/>
        <v>0</v>
      </c>
      <c r="H124" s="303">
        <f t="shared" si="24"/>
        <v>0</v>
      </c>
      <c r="I124" s="308">
        <f t="shared" si="24"/>
        <v>0</v>
      </c>
      <c r="J124" s="308">
        <f t="shared" si="24"/>
        <v>0</v>
      </c>
      <c r="K124" s="309">
        <f t="shared" si="20"/>
        <v>0</v>
      </c>
      <c r="L124" s="308">
        <f t="shared" si="21"/>
        <v>660</v>
      </c>
      <c r="M124" s="326">
        <f>Données!AE124</f>
        <v>1</v>
      </c>
      <c r="N124" s="308">
        <v>1</v>
      </c>
      <c r="O124" s="303">
        <f t="shared" si="14"/>
        <v>0</v>
      </c>
      <c r="P124" s="308">
        <f t="shared" si="22"/>
        <v>0</v>
      </c>
      <c r="Q124" s="309">
        <f t="shared" si="15"/>
        <v>9925.8275080823769</v>
      </c>
      <c r="R124" s="308">
        <f t="shared" si="16"/>
        <v>0</v>
      </c>
      <c r="S124" s="302">
        <f t="shared" si="17"/>
        <v>0</v>
      </c>
      <c r="T124" s="303">
        <f t="shared" si="18"/>
        <v>0</v>
      </c>
      <c r="U124" s="327">
        <f t="shared" si="23"/>
        <v>9925.8275080823769</v>
      </c>
    </row>
    <row r="125" spans="1:21" x14ac:dyDescent="0.25">
      <c r="A125" s="111">
        <f>Données!A125</f>
        <v>5610</v>
      </c>
      <c r="B125" s="112" t="str">
        <f>Données!B125</f>
        <v>St-Saphorin (Lavaux)</v>
      </c>
      <c r="C125" s="307">
        <f>Données!C125</f>
        <v>393</v>
      </c>
      <c r="D125" s="303">
        <f t="shared" si="19"/>
        <v>393</v>
      </c>
      <c r="E125" s="303">
        <f t="shared" si="24"/>
        <v>0</v>
      </c>
      <c r="F125" s="308">
        <f t="shared" si="24"/>
        <v>0</v>
      </c>
      <c r="G125" s="302">
        <f t="shared" si="24"/>
        <v>0</v>
      </c>
      <c r="H125" s="303">
        <f t="shared" si="24"/>
        <v>0</v>
      </c>
      <c r="I125" s="308">
        <f t="shared" si="24"/>
        <v>0</v>
      </c>
      <c r="J125" s="308">
        <f t="shared" si="24"/>
        <v>0</v>
      </c>
      <c r="K125" s="309">
        <f t="shared" si="20"/>
        <v>0</v>
      </c>
      <c r="L125" s="308">
        <f t="shared" si="21"/>
        <v>786</v>
      </c>
      <c r="M125" s="326">
        <f>Données!AE125</f>
        <v>1</v>
      </c>
      <c r="N125" s="308">
        <v>1</v>
      </c>
      <c r="O125" s="303">
        <f t="shared" si="14"/>
        <v>0</v>
      </c>
      <c r="P125" s="308">
        <f t="shared" si="22"/>
        <v>0</v>
      </c>
      <c r="Q125" s="309">
        <f t="shared" si="15"/>
        <v>11820.75821417083</v>
      </c>
      <c r="R125" s="308">
        <f t="shared" si="16"/>
        <v>0</v>
      </c>
      <c r="S125" s="302">
        <f t="shared" si="17"/>
        <v>0</v>
      </c>
      <c r="T125" s="303">
        <f t="shared" si="18"/>
        <v>0</v>
      </c>
      <c r="U125" s="327">
        <f t="shared" si="23"/>
        <v>11820.75821417083</v>
      </c>
    </row>
    <row r="126" spans="1:21" x14ac:dyDescent="0.25">
      <c r="A126" s="111">
        <f>Données!A126</f>
        <v>5611</v>
      </c>
      <c r="B126" s="112" t="str">
        <f>Données!B126</f>
        <v>Savigny</v>
      </c>
      <c r="C126" s="307">
        <f>Données!C126</f>
        <v>3598</v>
      </c>
      <c r="D126" s="303">
        <f t="shared" si="19"/>
        <v>1000</v>
      </c>
      <c r="E126" s="303">
        <f t="shared" si="24"/>
        <v>2000</v>
      </c>
      <c r="F126" s="308">
        <f t="shared" si="24"/>
        <v>598</v>
      </c>
      <c r="G126" s="302">
        <f t="shared" si="24"/>
        <v>0</v>
      </c>
      <c r="H126" s="303">
        <f t="shared" si="24"/>
        <v>0</v>
      </c>
      <c r="I126" s="308">
        <f t="shared" si="24"/>
        <v>0</v>
      </c>
      <c r="J126" s="308">
        <f t="shared" si="24"/>
        <v>0</v>
      </c>
      <c r="K126" s="309">
        <f t="shared" si="20"/>
        <v>0</v>
      </c>
      <c r="L126" s="308">
        <f t="shared" si="21"/>
        <v>10093</v>
      </c>
      <c r="M126" s="326">
        <f>Données!AE126</f>
        <v>1</v>
      </c>
      <c r="N126" s="308">
        <v>1</v>
      </c>
      <c r="O126" s="303">
        <f t="shared" si="14"/>
        <v>0</v>
      </c>
      <c r="P126" s="308">
        <f t="shared" si="22"/>
        <v>0</v>
      </c>
      <c r="Q126" s="309">
        <f t="shared" si="15"/>
        <v>108221.59810327391</v>
      </c>
      <c r="R126" s="308">
        <f t="shared" si="16"/>
        <v>0</v>
      </c>
      <c r="S126" s="302">
        <f t="shared" si="17"/>
        <v>0</v>
      </c>
      <c r="T126" s="303">
        <f t="shared" si="18"/>
        <v>0</v>
      </c>
      <c r="U126" s="327">
        <f t="shared" si="23"/>
        <v>108221.59810327391</v>
      </c>
    </row>
    <row r="127" spans="1:21" x14ac:dyDescent="0.25">
      <c r="A127" s="111">
        <f>Données!A127</f>
        <v>5613</v>
      </c>
      <c r="B127" s="112" t="str">
        <f>Données!B127</f>
        <v>Bourg-en-Lavaux</v>
      </c>
      <c r="C127" s="307">
        <f>Données!C127</f>
        <v>5558</v>
      </c>
      <c r="D127" s="303">
        <f t="shared" si="19"/>
        <v>1000</v>
      </c>
      <c r="E127" s="303">
        <f t="shared" si="24"/>
        <v>2000</v>
      </c>
      <c r="F127" s="308">
        <f t="shared" si="24"/>
        <v>2000</v>
      </c>
      <c r="G127" s="302">
        <f t="shared" si="24"/>
        <v>558</v>
      </c>
      <c r="H127" s="303">
        <f t="shared" si="24"/>
        <v>0</v>
      </c>
      <c r="I127" s="308">
        <f t="shared" si="24"/>
        <v>0</v>
      </c>
      <c r="J127" s="308">
        <f t="shared" si="24"/>
        <v>0</v>
      </c>
      <c r="K127" s="309">
        <f t="shared" si="20"/>
        <v>0</v>
      </c>
      <c r="L127" s="308">
        <f t="shared" si="21"/>
        <v>17232</v>
      </c>
      <c r="M127" s="326">
        <f>Données!AE127</f>
        <v>1</v>
      </c>
      <c r="N127" s="308">
        <v>1</v>
      </c>
      <c r="O127" s="303">
        <f t="shared" si="14"/>
        <v>0</v>
      </c>
      <c r="P127" s="308">
        <f t="shared" si="22"/>
        <v>0</v>
      </c>
      <c r="Q127" s="309">
        <f t="shared" si="15"/>
        <v>167174.99784824802</v>
      </c>
      <c r="R127" s="308">
        <f t="shared" si="16"/>
        <v>0</v>
      </c>
      <c r="S127" s="302">
        <f t="shared" si="17"/>
        <v>0</v>
      </c>
      <c r="T127" s="303">
        <f t="shared" si="18"/>
        <v>0</v>
      </c>
      <c r="U127" s="327">
        <f t="shared" si="23"/>
        <v>167174.99784824802</v>
      </c>
    </row>
    <row r="128" spans="1:21" x14ac:dyDescent="0.25">
      <c r="A128" s="111">
        <f>Données!A128</f>
        <v>5621</v>
      </c>
      <c r="B128" s="112" t="str">
        <f>Données!B128</f>
        <v>Aclens</v>
      </c>
      <c r="C128" s="307">
        <f>Données!C128</f>
        <v>609</v>
      </c>
      <c r="D128" s="303">
        <f t="shared" si="19"/>
        <v>609</v>
      </c>
      <c r="E128" s="303">
        <f t="shared" si="24"/>
        <v>0</v>
      </c>
      <c r="F128" s="308">
        <f t="shared" si="24"/>
        <v>0</v>
      </c>
      <c r="G128" s="302">
        <f t="shared" si="24"/>
        <v>0</v>
      </c>
      <c r="H128" s="303">
        <f t="shared" si="24"/>
        <v>0</v>
      </c>
      <c r="I128" s="308">
        <f t="shared" si="24"/>
        <v>0</v>
      </c>
      <c r="J128" s="308">
        <f t="shared" si="24"/>
        <v>0</v>
      </c>
      <c r="K128" s="309">
        <f t="shared" si="20"/>
        <v>0</v>
      </c>
      <c r="L128" s="308">
        <f t="shared" si="21"/>
        <v>1218</v>
      </c>
      <c r="M128" s="326">
        <f>Données!AE128</f>
        <v>0</v>
      </c>
      <c r="N128" s="308">
        <v>0</v>
      </c>
      <c r="O128" s="303">
        <f t="shared" si="14"/>
        <v>609</v>
      </c>
      <c r="P128" s="308">
        <f t="shared" si="22"/>
        <v>1218</v>
      </c>
      <c r="Q128" s="309">
        <f t="shared" si="15"/>
        <v>18317.663492188385</v>
      </c>
      <c r="R128" s="308">
        <f t="shared" si="16"/>
        <v>40133.024182178568</v>
      </c>
      <c r="S128" s="302">
        <f t="shared" si="17"/>
        <v>29840.00680318784</v>
      </c>
      <c r="T128" s="303">
        <f t="shared" si="18"/>
        <v>0</v>
      </c>
      <c r="U128" s="327">
        <f t="shared" si="23"/>
        <v>88290.694477554789</v>
      </c>
    </row>
    <row r="129" spans="1:21" x14ac:dyDescent="0.25">
      <c r="A129" s="111">
        <f>Données!A129</f>
        <v>5622</v>
      </c>
      <c r="B129" s="112" t="str">
        <f>Données!B129</f>
        <v>Bremblens</v>
      </c>
      <c r="C129" s="307">
        <f>Données!C129</f>
        <v>596</v>
      </c>
      <c r="D129" s="303">
        <f t="shared" si="19"/>
        <v>596</v>
      </c>
      <c r="E129" s="303">
        <f t="shared" si="24"/>
        <v>0</v>
      </c>
      <c r="F129" s="308">
        <f t="shared" si="24"/>
        <v>0</v>
      </c>
      <c r="G129" s="302">
        <f t="shared" si="24"/>
        <v>0</v>
      </c>
      <c r="H129" s="303">
        <f t="shared" si="24"/>
        <v>0</v>
      </c>
      <c r="I129" s="308">
        <f t="shared" si="24"/>
        <v>0</v>
      </c>
      <c r="J129" s="308">
        <f t="shared" si="24"/>
        <v>0</v>
      </c>
      <c r="K129" s="309">
        <f t="shared" si="20"/>
        <v>0</v>
      </c>
      <c r="L129" s="308">
        <f t="shared" si="21"/>
        <v>1192</v>
      </c>
      <c r="M129" s="326">
        <f>Données!AE129</f>
        <v>0</v>
      </c>
      <c r="N129" s="308">
        <v>0</v>
      </c>
      <c r="O129" s="303">
        <f t="shared" si="14"/>
        <v>596</v>
      </c>
      <c r="P129" s="308">
        <f t="shared" si="22"/>
        <v>1192</v>
      </c>
      <c r="Q129" s="309">
        <f t="shared" si="15"/>
        <v>17926.646044900292</v>
      </c>
      <c r="R129" s="308">
        <f t="shared" si="16"/>
        <v>39276.325800621395</v>
      </c>
      <c r="S129" s="302">
        <f t="shared" si="17"/>
        <v>29203.028004433421</v>
      </c>
      <c r="T129" s="303">
        <f t="shared" si="18"/>
        <v>0</v>
      </c>
      <c r="U129" s="327">
        <f t="shared" si="23"/>
        <v>86405.999849955115</v>
      </c>
    </row>
    <row r="130" spans="1:21" x14ac:dyDescent="0.25">
      <c r="A130" s="111">
        <f>Données!A130</f>
        <v>5623</v>
      </c>
      <c r="B130" s="112" t="str">
        <f>Données!B130</f>
        <v>Buchillon</v>
      </c>
      <c r="C130" s="307">
        <f>Données!C130</f>
        <v>682</v>
      </c>
      <c r="D130" s="303">
        <f t="shared" si="19"/>
        <v>682</v>
      </c>
      <c r="E130" s="303">
        <f t="shared" si="24"/>
        <v>0</v>
      </c>
      <c r="F130" s="308">
        <f t="shared" si="24"/>
        <v>0</v>
      </c>
      <c r="G130" s="302">
        <f t="shared" si="24"/>
        <v>0</v>
      </c>
      <c r="H130" s="303">
        <f t="shared" si="24"/>
        <v>0</v>
      </c>
      <c r="I130" s="308">
        <f t="shared" si="24"/>
        <v>0</v>
      </c>
      <c r="J130" s="308">
        <f t="shared" si="24"/>
        <v>0</v>
      </c>
      <c r="K130" s="309">
        <f t="shared" si="20"/>
        <v>0</v>
      </c>
      <c r="L130" s="308">
        <f t="shared" si="21"/>
        <v>1364</v>
      </c>
      <c r="M130" s="326">
        <f>Données!AE130</f>
        <v>1</v>
      </c>
      <c r="N130" s="308">
        <v>1</v>
      </c>
      <c r="O130" s="303">
        <f t="shared" si="14"/>
        <v>0</v>
      </c>
      <c r="P130" s="308">
        <f t="shared" si="22"/>
        <v>0</v>
      </c>
      <c r="Q130" s="309">
        <f t="shared" si="15"/>
        <v>20513.376850036911</v>
      </c>
      <c r="R130" s="308">
        <f t="shared" si="16"/>
        <v>0</v>
      </c>
      <c r="S130" s="302">
        <f t="shared" si="17"/>
        <v>0</v>
      </c>
      <c r="T130" s="303">
        <f t="shared" si="18"/>
        <v>0</v>
      </c>
      <c r="U130" s="327">
        <f t="shared" si="23"/>
        <v>20513.376850036911</v>
      </c>
    </row>
    <row r="131" spans="1:21" x14ac:dyDescent="0.25">
      <c r="A131" s="111">
        <f>Données!A131</f>
        <v>5624</v>
      </c>
      <c r="B131" s="112" t="str">
        <f>Données!B131</f>
        <v>Bussigny</v>
      </c>
      <c r="C131" s="307">
        <f>Données!C131</f>
        <v>12138</v>
      </c>
      <c r="D131" s="303">
        <f t="shared" si="19"/>
        <v>1000</v>
      </c>
      <c r="E131" s="303">
        <f t="shared" si="24"/>
        <v>2000</v>
      </c>
      <c r="F131" s="308">
        <f t="shared" si="24"/>
        <v>2000</v>
      </c>
      <c r="G131" s="302">
        <f t="shared" si="24"/>
        <v>7000</v>
      </c>
      <c r="H131" s="303">
        <f t="shared" si="24"/>
        <v>138</v>
      </c>
      <c r="I131" s="308">
        <f t="shared" si="24"/>
        <v>0</v>
      </c>
      <c r="J131" s="308">
        <f t="shared" si="24"/>
        <v>0</v>
      </c>
      <c r="K131" s="309">
        <f t="shared" si="20"/>
        <v>0</v>
      </c>
      <c r="L131" s="308">
        <f t="shared" si="21"/>
        <v>43690</v>
      </c>
      <c r="M131" s="326">
        <f>Données!AE131</f>
        <v>1</v>
      </c>
      <c r="N131" s="308">
        <v>1</v>
      </c>
      <c r="O131" s="303">
        <f t="shared" si="14"/>
        <v>0</v>
      </c>
      <c r="P131" s="308">
        <f t="shared" si="22"/>
        <v>0</v>
      </c>
      <c r="Q131" s="309">
        <f t="shared" si="15"/>
        <v>365089.98270637542</v>
      </c>
      <c r="R131" s="308">
        <f t="shared" si="16"/>
        <v>0</v>
      </c>
      <c r="S131" s="302">
        <f t="shared" si="17"/>
        <v>0</v>
      </c>
      <c r="T131" s="303">
        <f t="shared" si="18"/>
        <v>0</v>
      </c>
      <c r="U131" s="327">
        <f t="shared" si="23"/>
        <v>365089.98270637542</v>
      </c>
    </row>
    <row r="132" spans="1:21" x14ac:dyDescent="0.25">
      <c r="A132" s="111">
        <f>Données!A132</f>
        <v>5627</v>
      </c>
      <c r="B132" s="112" t="str">
        <f>Données!B132</f>
        <v>Chavannes-près-Renens</v>
      </c>
      <c r="C132" s="307">
        <f>Données!C132</f>
        <v>10735</v>
      </c>
      <c r="D132" s="303">
        <f t="shared" si="19"/>
        <v>1000</v>
      </c>
      <c r="E132" s="303">
        <f t="shared" si="24"/>
        <v>2000</v>
      </c>
      <c r="F132" s="308">
        <f t="shared" si="24"/>
        <v>2000</v>
      </c>
      <c r="G132" s="302">
        <f t="shared" si="24"/>
        <v>5735</v>
      </c>
      <c r="H132" s="303">
        <f t="shared" si="24"/>
        <v>0</v>
      </c>
      <c r="I132" s="308">
        <f t="shared" si="24"/>
        <v>0</v>
      </c>
      <c r="J132" s="308">
        <f t="shared" si="24"/>
        <v>0</v>
      </c>
      <c r="K132" s="309">
        <f t="shared" si="20"/>
        <v>0</v>
      </c>
      <c r="L132" s="308">
        <f t="shared" si="21"/>
        <v>37940</v>
      </c>
      <c r="M132" s="326">
        <f>Données!AE132</f>
        <v>1</v>
      </c>
      <c r="N132" s="308">
        <v>1</v>
      </c>
      <c r="O132" s="303">
        <f t="shared" si="14"/>
        <v>0</v>
      </c>
      <c r="P132" s="308">
        <f t="shared" si="22"/>
        <v>0</v>
      </c>
      <c r="Q132" s="309">
        <f t="shared" si="15"/>
        <v>322890.17666443728</v>
      </c>
      <c r="R132" s="308">
        <f t="shared" si="16"/>
        <v>0</v>
      </c>
      <c r="S132" s="302">
        <f t="shared" si="17"/>
        <v>0</v>
      </c>
      <c r="T132" s="303">
        <f t="shared" si="18"/>
        <v>0</v>
      </c>
      <c r="U132" s="327">
        <f t="shared" si="23"/>
        <v>322890.17666443728</v>
      </c>
    </row>
    <row r="133" spans="1:21" x14ac:dyDescent="0.25">
      <c r="A133" s="111">
        <f>Données!A133</f>
        <v>5628</v>
      </c>
      <c r="B133" s="112" t="str">
        <f>Données!B133</f>
        <v>Chigny</v>
      </c>
      <c r="C133" s="307">
        <f>Données!C133</f>
        <v>410</v>
      </c>
      <c r="D133" s="303">
        <f t="shared" si="19"/>
        <v>410</v>
      </c>
      <c r="E133" s="303">
        <f t="shared" si="24"/>
        <v>0</v>
      </c>
      <c r="F133" s="308">
        <f t="shared" si="24"/>
        <v>0</v>
      </c>
      <c r="G133" s="302">
        <f t="shared" si="24"/>
        <v>0</v>
      </c>
      <c r="H133" s="303">
        <f t="shared" si="24"/>
        <v>0</v>
      </c>
      <c r="I133" s="308">
        <f t="shared" si="24"/>
        <v>0</v>
      </c>
      <c r="J133" s="308">
        <f t="shared" si="24"/>
        <v>0</v>
      </c>
      <c r="K133" s="309">
        <f t="shared" si="20"/>
        <v>0</v>
      </c>
      <c r="L133" s="308">
        <f t="shared" si="21"/>
        <v>820</v>
      </c>
      <c r="M133" s="326">
        <f>Données!AE133</f>
        <v>0</v>
      </c>
      <c r="N133" s="308">
        <v>0</v>
      </c>
      <c r="O133" s="303">
        <f t="shared" si="14"/>
        <v>410</v>
      </c>
      <c r="P133" s="308">
        <f t="shared" si="22"/>
        <v>820</v>
      </c>
      <c r="Q133" s="309">
        <f t="shared" si="15"/>
        <v>12332.088722162953</v>
      </c>
      <c r="R133" s="308">
        <f t="shared" si="16"/>
        <v>27018.948956803306</v>
      </c>
      <c r="S133" s="302">
        <f t="shared" si="17"/>
        <v>20089.331345331717</v>
      </c>
      <c r="T133" s="303">
        <f t="shared" si="18"/>
        <v>0</v>
      </c>
      <c r="U133" s="327">
        <f t="shared" si="23"/>
        <v>59440.369024297972</v>
      </c>
    </row>
    <row r="134" spans="1:21" x14ac:dyDescent="0.25">
      <c r="A134" s="111">
        <f>Données!A134</f>
        <v>5629</v>
      </c>
      <c r="B134" s="112" t="str">
        <f>Données!B134</f>
        <v>Clarmont</v>
      </c>
      <c r="C134" s="307">
        <f>Données!C134</f>
        <v>232</v>
      </c>
      <c r="D134" s="303">
        <f t="shared" si="19"/>
        <v>232</v>
      </c>
      <c r="E134" s="303">
        <f t="shared" si="24"/>
        <v>0</v>
      </c>
      <c r="F134" s="308">
        <f t="shared" si="24"/>
        <v>0</v>
      </c>
      <c r="G134" s="302">
        <f t="shared" si="24"/>
        <v>0</v>
      </c>
      <c r="H134" s="303">
        <f t="shared" si="24"/>
        <v>0</v>
      </c>
      <c r="I134" s="308">
        <f t="shared" si="24"/>
        <v>0</v>
      </c>
      <c r="J134" s="308">
        <f t="shared" si="24"/>
        <v>0</v>
      </c>
      <c r="K134" s="309">
        <f t="shared" si="20"/>
        <v>0</v>
      </c>
      <c r="L134" s="308">
        <f t="shared" si="21"/>
        <v>464</v>
      </c>
      <c r="M134" s="326">
        <f>Données!AE134</f>
        <v>0</v>
      </c>
      <c r="N134" s="308">
        <v>0</v>
      </c>
      <c r="O134" s="303">
        <f t="shared" si="14"/>
        <v>232</v>
      </c>
      <c r="P134" s="308">
        <f t="shared" si="22"/>
        <v>464</v>
      </c>
      <c r="Q134" s="309">
        <f t="shared" si="15"/>
        <v>6978.1575208336708</v>
      </c>
      <c r="R134" s="308">
        <f t="shared" si="16"/>
        <v>15288.771117020407</v>
      </c>
      <c r="S134" s="302">
        <f t="shared" si="17"/>
        <v>11367.621639309653</v>
      </c>
      <c r="T134" s="303">
        <f t="shared" si="18"/>
        <v>0</v>
      </c>
      <c r="U134" s="327">
        <f t="shared" si="23"/>
        <v>33634.550277163733</v>
      </c>
    </row>
    <row r="135" spans="1:21" x14ac:dyDescent="0.25">
      <c r="A135" s="111">
        <f>Données!A135</f>
        <v>5631</v>
      </c>
      <c r="B135" s="112" t="str">
        <f>Données!B135</f>
        <v>Denens</v>
      </c>
      <c r="C135" s="307">
        <f>Données!C135</f>
        <v>748</v>
      </c>
      <c r="D135" s="303">
        <f t="shared" si="19"/>
        <v>748</v>
      </c>
      <c r="E135" s="303">
        <f t="shared" si="24"/>
        <v>0</v>
      </c>
      <c r="F135" s="308">
        <f t="shared" si="24"/>
        <v>0</v>
      </c>
      <c r="G135" s="302">
        <f t="shared" si="24"/>
        <v>0</v>
      </c>
      <c r="H135" s="303">
        <f t="shared" si="24"/>
        <v>0</v>
      </c>
      <c r="I135" s="308">
        <f t="shared" si="24"/>
        <v>0</v>
      </c>
      <c r="J135" s="308">
        <f t="shared" si="24"/>
        <v>0</v>
      </c>
      <c r="K135" s="309">
        <f t="shared" si="20"/>
        <v>0</v>
      </c>
      <c r="L135" s="308">
        <f t="shared" si="21"/>
        <v>1496</v>
      </c>
      <c r="M135" s="326">
        <f>Données!AE135</f>
        <v>0</v>
      </c>
      <c r="N135" s="308">
        <v>0</v>
      </c>
      <c r="O135" s="303">
        <f t="shared" si="14"/>
        <v>748</v>
      </c>
      <c r="P135" s="308">
        <f t="shared" si="22"/>
        <v>1496</v>
      </c>
      <c r="Q135" s="309">
        <f t="shared" si="15"/>
        <v>22498.542351653385</v>
      </c>
      <c r="R135" s="308">
        <f t="shared" si="16"/>
        <v>49293.106877289938</v>
      </c>
      <c r="S135" s="302">
        <f t="shared" si="17"/>
        <v>36650.780112946639</v>
      </c>
      <c r="T135" s="303">
        <f t="shared" si="18"/>
        <v>0</v>
      </c>
      <c r="U135" s="327">
        <f t="shared" si="23"/>
        <v>108442.42934188996</v>
      </c>
    </row>
    <row r="136" spans="1:21" x14ac:dyDescent="0.25">
      <c r="A136" s="111">
        <f>Données!A136</f>
        <v>5632</v>
      </c>
      <c r="B136" s="112" t="str">
        <f>Données!B136</f>
        <v>Denges</v>
      </c>
      <c r="C136" s="307">
        <f>Données!C136</f>
        <v>1844</v>
      </c>
      <c r="D136" s="303">
        <f t="shared" si="19"/>
        <v>1000</v>
      </c>
      <c r="E136" s="303">
        <f t="shared" si="24"/>
        <v>844</v>
      </c>
      <c r="F136" s="308">
        <f t="shared" si="24"/>
        <v>0</v>
      </c>
      <c r="G136" s="302">
        <f t="shared" si="24"/>
        <v>0</v>
      </c>
      <c r="H136" s="303">
        <f t="shared" si="24"/>
        <v>0</v>
      </c>
      <c r="I136" s="308">
        <f t="shared" si="24"/>
        <v>0</v>
      </c>
      <c r="J136" s="308">
        <f t="shared" si="24"/>
        <v>0</v>
      </c>
      <c r="K136" s="309">
        <f t="shared" si="20"/>
        <v>0</v>
      </c>
      <c r="L136" s="308">
        <f t="shared" si="21"/>
        <v>4532</v>
      </c>
      <c r="M136" s="326">
        <f>Données!AE136</f>
        <v>0</v>
      </c>
      <c r="N136" s="308">
        <v>0</v>
      </c>
      <c r="O136" s="303">
        <f t="shared" ref="O136:O199" si="25">IF(N136=0,C136,0)</f>
        <v>1844</v>
      </c>
      <c r="P136" s="308">
        <f t="shared" si="22"/>
        <v>4532</v>
      </c>
      <c r="Q136" s="309">
        <f t="shared" ref="Q136:Q199" si="26">$Q$6/$C$308*C136</f>
        <v>55464.320984557278</v>
      </c>
      <c r="R136" s="308">
        <f t="shared" ref="R136:R199" si="27">$R$6/$O$308*O136</f>
        <v>121519.37043011049</v>
      </c>
      <c r="S136" s="302">
        <f t="shared" ref="S136:S199" si="28">$S$6/$P$308*P136</f>
        <v>111030.30445980895</v>
      </c>
      <c r="T136" s="303">
        <f t="shared" ref="T136:T199" si="29">IF(M136&gt;N136,-R136-S136,IF(M136&lt;N136,C136*$R$311+L136*$S$311,IF(M136=N136,0,"Erreur")))</f>
        <v>0</v>
      </c>
      <c r="U136" s="327">
        <f t="shared" si="23"/>
        <v>288013.99587447674</v>
      </c>
    </row>
    <row r="137" spans="1:21" x14ac:dyDescent="0.25">
      <c r="A137" s="111">
        <f>Données!A137</f>
        <v>5633</v>
      </c>
      <c r="B137" s="112" t="str">
        <f>Données!B137</f>
        <v>Echandens</v>
      </c>
      <c r="C137" s="307">
        <f>Données!C137</f>
        <v>3116</v>
      </c>
      <c r="D137" s="303">
        <f t="shared" ref="D137:D200" si="30">IF(C137&gt;$D$5,$D$5-$D$4,C137)</f>
        <v>1000</v>
      </c>
      <c r="E137" s="303">
        <f t="shared" si="24"/>
        <v>2000</v>
      </c>
      <c r="F137" s="308">
        <f t="shared" si="24"/>
        <v>116</v>
      </c>
      <c r="G137" s="302">
        <f t="shared" si="24"/>
        <v>0</v>
      </c>
      <c r="H137" s="303">
        <f t="shared" si="24"/>
        <v>0</v>
      </c>
      <c r="I137" s="308">
        <f t="shared" si="24"/>
        <v>0</v>
      </c>
      <c r="J137" s="308">
        <f t="shared" si="24"/>
        <v>0</v>
      </c>
      <c r="K137" s="309">
        <f t="shared" ref="K137:K200" si="31">IF($C137&lt;K$4,0,$C137-K$4)</f>
        <v>0</v>
      </c>
      <c r="L137" s="308">
        <f t="shared" ref="L137:L200" si="32">SUMPRODUCT($D$6:$K$6,D137:K137)</f>
        <v>8406</v>
      </c>
      <c r="M137" s="326">
        <f>Données!AE137</f>
        <v>0</v>
      </c>
      <c r="N137" s="308">
        <v>0</v>
      </c>
      <c r="O137" s="303">
        <f t="shared" si="25"/>
        <v>3116</v>
      </c>
      <c r="P137" s="308">
        <f t="shared" ref="P137:P200" si="33">IF(N137=0,L137,0)</f>
        <v>8406</v>
      </c>
      <c r="Q137" s="309">
        <f t="shared" si="26"/>
        <v>93723.874288438441</v>
      </c>
      <c r="R137" s="308">
        <f t="shared" si="27"/>
        <v>205344.01207170513</v>
      </c>
      <c r="S137" s="302">
        <f t="shared" si="28"/>
        <v>205940.14547421757</v>
      </c>
      <c r="T137" s="303">
        <f t="shared" si="29"/>
        <v>0</v>
      </c>
      <c r="U137" s="327">
        <f t="shared" ref="U137:U200" si="34">SUM(Q137:T137)</f>
        <v>505008.03183436114</v>
      </c>
    </row>
    <row r="138" spans="1:21" x14ac:dyDescent="0.25">
      <c r="A138" s="111">
        <f>Données!A138</f>
        <v>5634</v>
      </c>
      <c r="B138" s="112" t="str">
        <f>Données!B138</f>
        <v>Echichens</v>
      </c>
      <c r="C138" s="307">
        <f>Données!C138</f>
        <v>3241</v>
      </c>
      <c r="D138" s="303">
        <f t="shared" si="30"/>
        <v>1000</v>
      </c>
      <c r="E138" s="303">
        <f t="shared" si="24"/>
        <v>2000</v>
      </c>
      <c r="F138" s="308">
        <f t="shared" si="24"/>
        <v>241</v>
      </c>
      <c r="G138" s="302">
        <f t="shared" si="24"/>
        <v>0</v>
      </c>
      <c r="H138" s="303">
        <f t="shared" si="24"/>
        <v>0</v>
      </c>
      <c r="I138" s="308">
        <f t="shared" si="24"/>
        <v>0</v>
      </c>
      <c r="J138" s="308">
        <f t="shared" si="24"/>
        <v>0</v>
      </c>
      <c r="K138" s="309">
        <f t="shared" si="31"/>
        <v>0</v>
      </c>
      <c r="L138" s="308">
        <f t="shared" si="32"/>
        <v>8843.5</v>
      </c>
      <c r="M138" s="326">
        <f>Données!AE138</f>
        <v>0</v>
      </c>
      <c r="N138" s="308">
        <v>0</v>
      </c>
      <c r="O138" s="303">
        <f t="shared" si="25"/>
        <v>3241</v>
      </c>
      <c r="P138" s="308">
        <f t="shared" si="33"/>
        <v>8843.5</v>
      </c>
      <c r="Q138" s="309">
        <f t="shared" si="26"/>
        <v>97483.657435439338</v>
      </c>
      <c r="R138" s="308">
        <f t="shared" si="27"/>
        <v>213581.49650975491</v>
      </c>
      <c r="S138" s="302">
        <f t="shared" si="28"/>
        <v>216658.53872248906</v>
      </c>
      <c r="T138" s="303">
        <f t="shared" si="29"/>
        <v>0</v>
      </c>
      <c r="U138" s="327">
        <f t="shared" si="34"/>
        <v>527723.69266768335</v>
      </c>
    </row>
    <row r="139" spans="1:21" x14ac:dyDescent="0.25">
      <c r="A139" s="111">
        <f>Données!A139</f>
        <v>5635</v>
      </c>
      <c r="B139" s="112" t="str">
        <f>Données!B139</f>
        <v>Ecublens</v>
      </c>
      <c r="C139" s="307">
        <f>Données!C139</f>
        <v>13758</v>
      </c>
      <c r="D139" s="303">
        <f t="shared" si="30"/>
        <v>1000</v>
      </c>
      <c r="E139" s="303">
        <f t="shared" si="24"/>
        <v>2000</v>
      </c>
      <c r="F139" s="308">
        <f t="shared" si="24"/>
        <v>2000</v>
      </c>
      <c r="G139" s="302">
        <f t="shared" si="24"/>
        <v>7000</v>
      </c>
      <c r="H139" s="303">
        <f t="shared" si="24"/>
        <v>1758</v>
      </c>
      <c r="I139" s="308">
        <f t="shared" si="24"/>
        <v>0</v>
      </c>
      <c r="J139" s="308">
        <f t="shared" si="24"/>
        <v>0</v>
      </c>
      <c r="K139" s="309">
        <f t="shared" si="31"/>
        <v>0</v>
      </c>
      <c r="L139" s="308">
        <f t="shared" si="32"/>
        <v>51790</v>
      </c>
      <c r="M139" s="326">
        <f>Données!AE139</f>
        <v>1</v>
      </c>
      <c r="N139" s="308">
        <v>1</v>
      </c>
      <c r="O139" s="303">
        <f t="shared" si="25"/>
        <v>0</v>
      </c>
      <c r="P139" s="308">
        <f t="shared" si="33"/>
        <v>0</v>
      </c>
      <c r="Q139" s="309">
        <f t="shared" si="26"/>
        <v>413816.77229150705</v>
      </c>
      <c r="R139" s="308">
        <f t="shared" si="27"/>
        <v>0</v>
      </c>
      <c r="S139" s="302">
        <f t="shared" si="28"/>
        <v>0</v>
      </c>
      <c r="T139" s="303">
        <f t="shared" si="29"/>
        <v>0</v>
      </c>
      <c r="U139" s="327">
        <f t="shared" si="34"/>
        <v>413816.77229150705</v>
      </c>
    </row>
    <row r="140" spans="1:21" x14ac:dyDescent="0.25">
      <c r="A140" s="111">
        <f>Données!A140</f>
        <v>5636</v>
      </c>
      <c r="B140" s="112" t="str">
        <f>Données!B140</f>
        <v>Etoy</v>
      </c>
      <c r="C140" s="307">
        <f>Données!C140</f>
        <v>3013</v>
      </c>
      <c r="D140" s="303">
        <f t="shared" si="30"/>
        <v>1000</v>
      </c>
      <c r="E140" s="303">
        <f t="shared" si="24"/>
        <v>2000</v>
      </c>
      <c r="F140" s="308">
        <f t="shared" si="24"/>
        <v>13</v>
      </c>
      <c r="G140" s="302">
        <f t="shared" si="24"/>
        <v>0</v>
      </c>
      <c r="H140" s="303">
        <f t="shared" si="24"/>
        <v>0</v>
      </c>
      <c r="I140" s="308">
        <f t="shared" si="24"/>
        <v>0</v>
      </c>
      <c r="J140" s="308">
        <f t="shared" si="24"/>
        <v>0</v>
      </c>
      <c r="K140" s="309">
        <f t="shared" si="31"/>
        <v>0</v>
      </c>
      <c r="L140" s="308">
        <f t="shared" si="32"/>
        <v>8045.5</v>
      </c>
      <c r="M140" s="326">
        <f>Données!AE140</f>
        <v>0</v>
      </c>
      <c r="N140" s="308">
        <v>0</v>
      </c>
      <c r="O140" s="303">
        <f t="shared" si="25"/>
        <v>3013</v>
      </c>
      <c r="P140" s="308">
        <f t="shared" si="33"/>
        <v>8045.5</v>
      </c>
      <c r="Q140" s="309">
        <f t="shared" si="26"/>
        <v>90625.812975309687</v>
      </c>
      <c r="R140" s="308">
        <f t="shared" si="27"/>
        <v>198556.32489475212</v>
      </c>
      <c r="S140" s="302">
        <f t="shared" si="28"/>
        <v>197108.18943764185</v>
      </c>
      <c r="T140" s="303">
        <f t="shared" si="29"/>
        <v>0</v>
      </c>
      <c r="U140" s="327">
        <f t="shared" si="34"/>
        <v>486290.32730770367</v>
      </c>
    </row>
    <row r="141" spans="1:21" x14ac:dyDescent="0.25">
      <c r="A141" s="111">
        <f>Données!A141</f>
        <v>5637</v>
      </c>
      <c r="B141" s="112" t="str">
        <f>Données!B141</f>
        <v>Lavigny</v>
      </c>
      <c r="C141" s="307">
        <f>Données!C141</f>
        <v>1108</v>
      </c>
      <c r="D141" s="303">
        <f t="shared" si="30"/>
        <v>1000</v>
      </c>
      <c r="E141" s="303">
        <f t="shared" si="24"/>
        <v>108</v>
      </c>
      <c r="F141" s="308">
        <f t="shared" si="24"/>
        <v>0</v>
      </c>
      <c r="G141" s="302">
        <f t="shared" si="24"/>
        <v>0</v>
      </c>
      <c r="H141" s="303">
        <f t="shared" si="24"/>
        <v>0</v>
      </c>
      <c r="I141" s="308">
        <f t="shared" si="24"/>
        <v>0</v>
      </c>
      <c r="J141" s="308">
        <f t="shared" si="24"/>
        <v>0</v>
      </c>
      <c r="K141" s="309">
        <f t="shared" si="31"/>
        <v>0</v>
      </c>
      <c r="L141" s="308">
        <f t="shared" si="32"/>
        <v>2324</v>
      </c>
      <c r="M141" s="326">
        <f>Données!AE141</f>
        <v>0</v>
      </c>
      <c r="N141" s="308">
        <v>0</v>
      </c>
      <c r="O141" s="303">
        <f t="shared" si="25"/>
        <v>1108</v>
      </c>
      <c r="P141" s="308">
        <f t="shared" si="33"/>
        <v>2324</v>
      </c>
      <c r="Q141" s="309">
        <f t="shared" si="26"/>
        <v>33326.717815015974</v>
      </c>
      <c r="R141" s="308">
        <f t="shared" si="27"/>
        <v>73017.062058873329</v>
      </c>
      <c r="S141" s="302">
        <f t="shared" si="28"/>
        <v>56936.104934818177</v>
      </c>
      <c r="T141" s="303">
        <f t="shared" si="29"/>
        <v>0</v>
      </c>
      <c r="U141" s="327">
        <f t="shared" si="34"/>
        <v>163279.88480870749</v>
      </c>
    </row>
    <row r="142" spans="1:21" x14ac:dyDescent="0.25">
      <c r="A142" s="111">
        <f>Données!A142</f>
        <v>5638</v>
      </c>
      <c r="B142" s="112" t="str">
        <f>Données!B142</f>
        <v>Lonay</v>
      </c>
      <c r="C142" s="307">
        <f>Données!C142</f>
        <v>2719</v>
      </c>
      <c r="D142" s="303">
        <f t="shared" si="30"/>
        <v>1000</v>
      </c>
      <c r="E142" s="303">
        <f t="shared" si="24"/>
        <v>1719</v>
      </c>
      <c r="F142" s="308">
        <f t="shared" si="24"/>
        <v>0</v>
      </c>
      <c r="G142" s="302">
        <f t="shared" si="24"/>
        <v>0</v>
      </c>
      <c r="H142" s="303">
        <f t="shared" si="24"/>
        <v>0</v>
      </c>
      <c r="I142" s="308">
        <f t="shared" si="24"/>
        <v>0</v>
      </c>
      <c r="J142" s="308">
        <f t="shared" si="24"/>
        <v>0</v>
      </c>
      <c r="K142" s="309">
        <f t="shared" si="31"/>
        <v>0</v>
      </c>
      <c r="L142" s="308">
        <f t="shared" si="32"/>
        <v>7157</v>
      </c>
      <c r="M142" s="326">
        <f>Données!AE142</f>
        <v>0</v>
      </c>
      <c r="N142" s="308">
        <v>0</v>
      </c>
      <c r="O142" s="303">
        <f t="shared" si="25"/>
        <v>2719</v>
      </c>
      <c r="P142" s="308">
        <f t="shared" si="33"/>
        <v>7157</v>
      </c>
      <c r="Q142" s="309">
        <f t="shared" si="26"/>
        <v>81782.803013563578</v>
      </c>
      <c r="R142" s="308">
        <f t="shared" si="27"/>
        <v>179181.76149645902</v>
      </c>
      <c r="S142" s="302">
        <f t="shared" si="28"/>
        <v>175340.66394943791</v>
      </c>
      <c r="T142" s="303">
        <f t="shared" si="29"/>
        <v>0</v>
      </c>
      <c r="U142" s="327">
        <f t="shared" si="34"/>
        <v>436305.22845946049</v>
      </c>
    </row>
    <row r="143" spans="1:21" x14ac:dyDescent="0.25">
      <c r="A143" s="111">
        <f>Données!A143</f>
        <v>5639</v>
      </c>
      <c r="B143" s="112" t="str">
        <f>Données!B143</f>
        <v>Lully</v>
      </c>
      <c r="C143" s="307">
        <f>Données!C143</f>
        <v>824</v>
      </c>
      <c r="D143" s="303">
        <f t="shared" si="30"/>
        <v>824</v>
      </c>
      <c r="E143" s="303">
        <f t="shared" si="24"/>
        <v>0</v>
      </c>
      <c r="F143" s="308">
        <f t="shared" si="24"/>
        <v>0</v>
      </c>
      <c r="G143" s="302">
        <f t="shared" si="24"/>
        <v>0</v>
      </c>
      <c r="H143" s="303">
        <f t="shared" si="24"/>
        <v>0</v>
      </c>
      <c r="I143" s="308">
        <f t="shared" si="24"/>
        <v>0</v>
      </c>
      <c r="J143" s="308">
        <f t="shared" si="24"/>
        <v>0</v>
      </c>
      <c r="K143" s="309">
        <f t="shared" si="31"/>
        <v>0</v>
      </c>
      <c r="L143" s="308">
        <f t="shared" si="32"/>
        <v>1648</v>
      </c>
      <c r="M143" s="326">
        <f>Données!AE143</f>
        <v>0</v>
      </c>
      <c r="N143" s="308">
        <v>0</v>
      </c>
      <c r="O143" s="303">
        <f t="shared" si="25"/>
        <v>824</v>
      </c>
      <c r="P143" s="308">
        <f t="shared" si="33"/>
        <v>1648</v>
      </c>
      <c r="Q143" s="309">
        <f t="shared" si="26"/>
        <v>24784.490505029931</v>
      </c>
      <c r="R143" s="308">
        <f t="shared" si="27"/>
        <v>54301.49741562421</v>
      </c>
      <c r="S143" s="302">
        <f t="shared" si="28"/>
        <v>40374.656167203255</v>
      </c>
      <c r="T143" s="303">
        <f t="shared" si="29"/>
        <v>0</v>
      </c>
      <c r="U143" s="327">
        <f t="shared" si="34"/>
        <v>119460.64408785739</v>
      </c>
    </row>
    <row r="144" spans="1:21" x14ac:dyDescent="0.25">
      <c r="A144" s="111">
        <f>Données!A144</f>
        <v>5640</v>
      </c>
      <c r="B144" s="112" t="str">
        <f>Données!B144</f>
        <v>Lussy-sur-Morges</v>
      </c>
      <c r="C144" s="307">
        <f>Données!C144</f>
        <v>721</v>
      </c>
      <c r="D144" s="303">
        <f t="shared" si="30"/>
        <v>721</v>
      </c>
      <c r="E144" s="303">
        <f t="shared" si="24"/>
        <v>0</v>
      </c>
      <c r="F144" s="308">
        <f t="shared" si="24"/>
        <v>0</v>
      </c>
      <c r="G144" s="302">
        <f t="shared" si="24"/>
        <v>0</v>
      </c>
      <c r="H144" s="303">
        <f t="shared" si="24"/>
        <v>0</v>
      </c>
      <c r="I144" s="308">
        <f t="shared" si="24"/>
        <v>0</v>
      </c>
      <c r="J144" s="308">
        <f t="shared" si="24"/>
        <v>0</v>
      </c>
      <c r="K144" s="309">
        <f t="shared" si="31"/>
        <v>0</v>
      </c>
      <c r="L144" s="308">
        <f t="shared" si="32"/>
        <v>1442</v>
      </c>
      <c r="M144" s="326">
        <f>Données!AE144</f>
        <v>1</v>
      </c>
      <c r="N144" s="308">
        <v>1</v>
      </c>
      <c r="O144" s="303">
        <f t="shared" si="25"/>
        <v>0</v>
      </c>
      <c r="P144" s="308">
        <f t="shared" si="33"/>
        <v>0</v>
      </c>
      <c r="Q144" s="309">
        <f t="shared" si="26"/>
        <v>21686.429191901192</v>
      </c>
      <c r="R144" s="308">
        <f t="shared" si="27"/>
        <v>0</v>
      </c>
      <c r="S144" s="302">
        <f t="shared" si="28"/>
        <v>0</v>
      </c>
      <c r="T144" s="303">
        <f t="shared" si="29"/>
        <v>0</v>
      </c>
      <c r="U144" s="327">
        <f t="shared" si="34"/>
        <v>21686.429191901192</v>
      </c>
    </row>
    <row r="145" spans="1:21" x14ac:dyDescent="0.25">
      <c r="A145" s="111">
        <f>Données!A145</f>
        <v>5642</v>
      </c>
      <c r="B145" s="112" t="str">
        <f>Données!B145</f>
        <v>Morges</v>
      </c>
      <c r="C145" s="307">
        <f>Données!C145</f>
        <v>17813</v>
      </c>
      <c r="D145" s="303">
        <f t="shared" si="30"/>
        <v>1000</v>
      </c>
      <c r="E145" s="303">
        <f t="shared" si="24"/>
        <v>2000</v>
      </c>
      <c r="F145" s="308">
        <f t="shared" si="24"/>
        <v>2000</v>
      </c>
      <c r="G145" s="302">
        <f t="shared" si="24"/>
        <v>7000</v>
      </c>
      <c r="H145" s="303">
        <f t="shared" si="24"/>
        <v>3000</v>
      </c>
      <c r="I145" s="308">
        <f t="shared" si="24"/>
        <v>2813</v>
      </c>
      <c r="J145" s="308">
        <f t="shared" si="24"/>
        <v>0</v>
      </c>
      <c r="K145" s="309">
        <f t="shared" si="31"/>
        <v>0</v>
      </c>
      <c r="L145" s="308">
        <f t="shared" si="32"/>
        <v>74878</v>
      </c>
      <c r="M145" s="326">
        <f>Données!AE145</f>
        <v>1</v>
      </c>
      <c r="N145" s="308">
        <v>1</v>
      </c>
      <c r="O145" s="303">
        <f t="shared" si="25"/>
        <v>0</v>
      </c>
      <c r="P145" s="308">
        <f t="shared" si="33"/>
        <v>0</v>
      </c>
      <c r="Q145" s="309">
        <f t="shared" si="26"/>
        <v>535784.13758021628</v>
      </c>
      <c r="R145" s="308">
        <f t="shared" si="27"/>
        <v>0</v>
      </c>
      <c r="S145" s="302">
        <f t="shared" si="28"/>
        <v>0</v>
      </c>
      <c r="T145" s="303">
        <f t="shared" si="29"/>
        <v>0</v>
      </c>
      <c r="U145" s="327">
        <f t="shared" si="34"/>
        <v>535784.13758021628</v>
      </c>
    </row>
    <row r="146" spans="1:21" x14ac:dyDescent="0.25">
      <c r="A146" s="111">
        <f>Données!A146</f>
        <v>5643</v>
      </c>
      <c r="B146" s="112" t="str">
        <f>Données!B146</f>
        <v>Préverenges</v>
      </c>
      <c r="C146" s="307">
        <f>Données!C146</f>
        <v>5236</v>
      </c>
      <c r="D146" s="303">
        <f t="shared" si="30"/>
        <v>1000</v>
      </c>
      <c r="E146" s="303">
        <f t="shared" si="24"/>
        <v>2000</v>
      </c>
      <c r="F146" s="308">
        <f t="shared" si="24"/>
        <v>2000</v>
      </c>
      <c r="G146" s="302">
        <f t="shared" si="24"/>
        <v>236</v>
      </c>
      <c r="H146" s="303">
        <f t="shared" si="24"/>
        <v>0</v>
      </c>
      <c r="I146" s="308">
        <f t="shared" si="24"/>
        <v>0</v>
      </c>
      <c r="J146" s="308">
        <f t="shared" si="24"/>
        <v>0</v>
      </c>
      <c r="K146" s="309">
        <f t="shared" si="31"/>
        <v>0</v>
      </c>
      <c r="L146" s="308">
        <f t="shared" si="32"/>
        <v>15944</v>
      </c>
      <c r="M146" s="326">
        <f>Données!AE146</f>
        <v>1</v>
      </c>
      <c r="N146" s="308">
        <v>1</v>
      </c>
      <c r="O146" s="303">
        <f t="shared" si="25"/>
        <v>0</v>
      </c>
      <c r="P146" s="308">
        <f t="shared" si="33"/>
        <v>0</v>
      </c>
      <c r="Q146" s="309">
        <f t="shared" si="26"/>
        <v>157489.79646157369</v>
      </c>
      <c r="R146" s="308">
        <f t="shared" si="27"/>
        <v>0</v>
      </c>
      <c r="S146" s="302">
        <f t="shared" si="28"/>
        <v>0</v>
      </c>
      <c r="T146" s="303">
        <f t="shared" si="29"/>
        <v>0</v>
      </c>
      <c r="U146" s="327">
        <f t="shared" si="34"/>
        <v>157489.79646157369</v>
      </c>
    </row>
    <row r="147" spans="1:21" x14ac:dyDescent="0.25">
      <c r="A147" s="111">
        <f>Données!A147</f>
        <v>5645</v>
      </c>
      <c r="B147" s="112" t="str">
        <f>Données!B147</f>
        <v>Romanel-sur-Morges</v>
      </c>
      <c r="C147" s="307">
        <f>Données!C147</f>
        <v>462</v>
      </c>
      <c r="D147" s="303">
        <f t="shared" si="30"/>
        <v>462</v>
      </c>
      <c r="E147" s="303">
        <f t="shared" si="24"/>
        <v>0</v>
      </c>
      <c r="F147" s="308">
        <f t="shared" si="24"/>
        <v>0</v>
      </c>
      <c r="G147" s="302">
        <f t="shared" si="24"/>
        <v>0</v>
      </c>
      <c r="H147" s="303">
        <f t="shared" si="24"/>
        <v>0</v>
      </c>
      <c r="I147" s="308">
        <f t="shared" si="24"/>
        <v>0</v>
      </c>
      <c r="J147" s="308">
        <f t="shared" si="24"/>
        <v>0</v>
      </c>
      <c r="K147" s="309">
        <f t="shared" si="31"/>
        <v>0</v>
      </c>
      <c r="L147" s="308">
        <f t="shared" si="32"/>
        <v>924</v>
      </c>
      <c r="M147" s="326">
        <f>Données!AE147</f>
        <v>0</v>
      </c>
      <c r="N147" s="308">
        <v>0</v>
      </c>
      <c r="O147" s="303">
        <f t="shared" si="25"/>
        <v>462</v>
      </c>
      <c r="P147" s="308">
        <f t="shared" si="33"/>
        <v>924</v>
      </c>
      <c r="Q147" s="309">
        <f t="shared" si="26"/>
        <v>13896.158511315327</v>
      </c>
      <c r="R147" s="308">
        <f t="shared" si="27"/>
        <v>30445.74248303202</v>
      </c>
      <c r="S147" s="302">
        <f t="shared" si="28"/>
        <v>22637.246540349395</v>
      </c>
      <c r="T147" s="303">
        <f t="shared" si="29"/>
        <v>0</v>
      </c>
      <c r="U147" s="327">
        <f t="shared" si="34"/>
        <v>66979.147534696749</v>
      </c>
    </row>
    <row r="148" spans="1:21" x14ac:dyDescent="0.25">
      <c r="A148" s="111">
        <f>Données!A148</f>
        <v>5646</v>
      </c>
      <c r="B148" s="112" t="str">
        <f>Données!B148</f>
        <v>Saint-Prex</v>
      </c>
      <c r="C148" s="307">
        <f>Données!C148</f>
        <v>5922</v>
      </c>
      <c r="D148" s="303">
        <f t="shared" si="30"/>
        <v>1000</v>
      </c>
      <c r="E148" s="303">
        <f t="shared" si="24"/>
        <v>2000</v>
      </c>
      <c r="F148" s="308">
        <f t="shared" si="24"/>
        <v>2000</v>
      </c>
      <c r="G148" s="302">
        <f t="shared" si="24"/>
        <v>922</v>
      </c>
      <c r="H148" s="303">
        <f t="shared" si="24"/>
        <v>0</v>
      </c>
      <c r="I148" s="308">
        <f t="shared" si="24"/>
        <v>0</v>
      </c>
      <c r="J148" s="308">
        <f t="shared" si="24"/>
        <v>0</v>
      </c>
      <c r="K148" s="309">
        <f t="shared" si="31"/>
        <v>0</v>
      </c>
      <c r="L148" s="308">
        <f t="shared" si="32"/>
        <v>18688</v>
      </c>
      <c r="M148" s="326">
        <f>Données!AE148</f>
        <v>1</v>
      </c>
      <c r="N148" s="308">
        <v>1</v>
      </c>
      <c r="O148" s="303">
        <f t="shared" si="25"/>
        <v>0</v>
      </c>
      <c r="P148" s="308">
        <f t="shared" si="33"/>
        <v>0</v>
      </c>
      <c r="Q148" s="309">
        <f t="shared" si="26"/>
        <v>178123.48637231463</v>
      </c>
      <c r="R148" s="308">
        <f t="shared" si="27"/>
        <v>0</v>
      </c>
      <c r="S148" s="302">
        <f t="shared" si="28"/>
        <v>0</v>
      </c>
      <c r="T148" s="303">
        <f t="shared" si="29"/>
        <v>0</v>
      </c>
      <c r="U148" s="327">
        <f t="shared" si="34"/>
        <v>178123.48637231463</v>
      </c>
    </row>
    <row r="149" spans="1:21" x14ac:dyDescent="0.25">
      <c r="A149" s="111">
        <f>Données!A149</f>
        <v>5648</v>
      </c>
      <c r="B149" s="112" t="str">
        <f>Données!B149</f>
        <v>Saint-Sulpice</v>
      </c>
      <c r="C149" s="307">
        <f>Données!C149</f>
        <v>5193</v>
      </c>
      <c r="D149" s="303">
        <f t="shared" si="30"/>
        <v>1000</v>
      </c>
      <c r="E149" s="303">
        <f t="shared" si="24"/>
        <v>2000</v>
      </c>
      <c r="F149" s="308">
        <f t="shared" si="24"/>
        <v>2000</v>
      </c>
      <c r="G149" s="302">
        <f t="shared" si="24"/>
        <v>193</v>
      </c>
      <c r="H149" s="303">
        <f t="shared" si="24"/>
        <v>0</v>
      </c>
      <c r="I149" s="308">
        <f t="shared" si="24"/>
        <v>0</v>
      </c>
      <c r="J149" s="308">
        <f t="shared" si="24"/>
        <v>0</v>
      </c>
      <c r="K149" s="309">
        <f t="shared" si="31"/>
        <v>0</v>
      </c>
      <c r="L149" s="308">
        <f t="shared" si="32"/>
        <v>15772</v>
      </c>
      <c r="M149" s="326">
        <f>Données!AE149</f>
        <v>1</v>
      </c>
      <c r="N149" s="308">
        <v>1</v>
      </c>
      <c r="O149" s="303">
        <f t="shared" si="25"/>
        <v>0</v>
      </c>
      <c r="P149" s="308">
        <f t="shared" si="33"/>
        <v>0</v>
      </c>
      <c r="Q149" s="309">
        <f t="shared" si="26"/>
        <v>156196.43105900538</v>
      </c>
      <c r="R149" s="308">
        <f t="shared" si="27"/>
        <v>0</v>
      </c>
      <c r="S149" s="302">
        <f t="shared" si="28"/>
        <v>0</v>
      </c>
      <c r="T149" s="303">
        <f t="shared" si="29"/>
        <v>0</v>
      </c>
      <c r="U149" s="327">
        <f t="shared" si="34"/>
        <v>156196.43105900538</v>
      </c>
    </row>
    <row r="150" spans="1:21" x14ac:dyDescent="0.25">
      <c r="A150" s="111">
        <f>Données!A150</f>
        <v>5649</v>
      </c>
      <c r="B150" s="112" t="str">
        <f>Données!B150</f>
        <v>Tolochenaz</v>
      </c>
      <c r="C150" s="307">
        <f>Données!C150</f>
        <v>1928</v>
      </c>
      <c r="D150" s="303">
        <f t="shared" si="30"/>
        <v>1000</v>
      </c>
      <c r="E150" s="303">
        <f t="shared" si="24"/>
        <v>928</v>
      </c>
      <c r="F150" s="308">
        <f t="shared" si="24"/>
        <v>0</v>
      </c>
      <c r="G150" s="302">
        <f t="shared" si="24"/>
        <v>0</v>
      </c>
      <c r="H150" s="303">
        <f t="shared" si="24"/>
        <v>0</v>
      </c>
      <c r="I150" s="308">
        <f t="shared" si="24"/>
        <v>0</v>
      </c>
      <c r="J150" s="308">
        <f t="shared" si="24"/>
        <v>0</v>
      </c>
      <c r="K150" s="309">
        <f t="shared" si="31"/>
        <v>0</v>
      </c>
      <c r="L150" s="308">
        <f t="shared" si="32"/>
        <v>4784</v>
      </c>
      <c r="M150" s="326">
        <f>Données!AE150</f>
        <v>1</v>
      </c>
      <c r="N150" s="308">
        <v>1</v>
      </c>
      <c r="O150" s="303">
        <f t="shared" si="25"/>
        <v>0</v>
      </c>
      <c r="P150" s="308">
        <f t="shared" si="33"/>
        <v>0</v>
      </c>
      <c r="Q150" s="309">
        <f t="shared" si="26"/>
        <v>57990.89525934188</v>
      </c>
      <c r="R150" s="308">
        <f t="shared" si="27"/>
        <v>0</v>
      </c>
      <c r="S150" s="302">
        <f t="shared" si="28"/>
        <v>0</v>
      </c>
      <c r="T150" s="303">
        <f t="shared" si="29"/>
        <v>0</v>
      </c>
      <c r="U150" s="327">
        <f t="shared" si="34"/>
        <v>57990.89525934188</v>
      </c>
    </row>
    <row r="151" spans="1:21" x14ac:dyDescent="0.25">
      <c r="A151" s="111">
        <f>Données!A151</f>
        <v>5650</v>
      </c>
      <c r="B151" s="112" t="str">
        <f>Données!B151</f>
        <v>Vaux-sur-Morges</v>
      </c>
      <c r="C151" s="307">
        <f>Données!C151</f>
        <v>185</v>
      </c>
      <c r="D151" s="303">
        <f t="shared" si="30"/>
        <v>185</v>
      </c>
      <c r="E151" s="303">
        <f t="shared" si="24"/>
        <v>0</v>
      </c>
      <c r="F151" s="308">
        <f t="shared" si="24"/>
        <v>0</v>
      </c>
      <c r="G151" s="302">
        <f t="shared" si="24"/>
        <v>0</v>
      </c>
      <c r="H151" s="303">
        <f t="shared" ref="E151:J193" si="35">IF($C151&lt;H$4,0,IF($C151&gt;H$5,H$5-H$4,$C151-H$4))</f>
        <v>0</v>
      </c>
      <c r="I151" s="308">
        <f t="shared" si="35"/>
        <v>0</v>
      </c>
      <c r="J151" s="308">
        <f t="shared" si="35"/>
        <v>0</v>
      </c>
      <c r="K151" s="309">
        <f t="shared" si="31"/>
        <v>0</v>
      </c>
      <c r="L151" s="308">
        <f t="shared" si="32"/>
        <v>370</v>
      </c>
      <c r="M151" s="326">
        <f>Données!AE151</f>
        <v>0</v>
      </c>
      <c r="N151" s="308">
        <v>0</v>
      </c>
      <c r="O151" s="303">
        <f t="shared" si="25"/>
        <v>185</v>
      </c>
      <c r="P151" s="308">
        <f t="shared" si="33"/>
        <v>370</v>
      </c>
      <c r="Q151" s="309">
        <f t="shared" si="26"/>
        <v>5564.4790575613324</v>
      </c>
      <c r="R151" s="308">
        <f t="shared" si="27"/>
        <v>12191.476968313687</v>
      </c>
      <c r="S151" s="302">
        <f t="shared" si="28"/>
        <v>9064.6982899667491</v>
      </c>
      <c r="T151" s="303">
        <f t="shared" si="29"/>
        <v>0</v>
      </c>
      <c r="U151" s="327">
        <f t="shared" si="34"/>
        <v>26820.65431584177</v>
      </c>
    </row>
    <row r="152" spans="1:21" x14ac:dyDescent="0.25">
      <c r="A152" s="111">
        <f>Données!A152</f>
        <v>5651</v>
      </c>
      <c r="B152" s="112" t="str">
        <f>Données!B152</f>
        <v>Villars-Sainte-Croix</v>
      </c>
      <c r="C152" s="307">
        <f>Données!C152</f>
        <v>943</v>
      </c>
      <c r="D152" s="303">
        <f t="shared" si="30"/>
        <v>943</v>
      </c>
      <c r="E152" s="303">
        <f t="shared" si="35"/>
        <v>0</v>
      </c>
      <c r="F152" s="308">
        <f t="shared" si="35"/>
        <v>0</v>
      </c>
      <c r="G152" s="302">
        <f t="shared" si="35"/>
        <v>0</v>
      </c>
      <c r="H152" s="303">
        <f t="shared" si="35"/>
        <v>0</v>
      </c>
      <c r="I152" s="308">
        <f t="shared" si="35"/>
        <v>0</v>
      </c>
      <c r="J152" s="308">
        <f t="shared" si="35"/>
        <v>0</v>
      </c>
      <c r="K152" s="309">
        <f t="shared" si="31"/>
        <v>0</v>
      </c>
      <c r="L152" s="308">
        <f t="shared" si="32"/>
        <v>1886</v>
      </c>
      <c r="M152" s="326">
        <f>Données!AE152</f>
        <v>1</v>
      </c>
      <c r="N152" s="308">
        <v>1</v>
      </c>
      <c r="O152" s="303">
        <f t="shared" si="25"/>
        <v>0</v>
      </c>
      <c r="P152" s="308">
        <f t="shared" si="33"/>
        <v>0</v>
      </c>
      <c r="Q152" s="309">
        <f t="shared" si="26"/>
        <v>28363.804060974791</v>
      </c>
      <c r="R152" s="308">
        <f t="shared" si="27"/>
        <v>0</v>
      </c>
      <c r="S152" s="302">
        <f t="shared" si="28"/>
        <v>0</v>
      </c>
      <c r="T152" s="303">
        <f t="shared" si="29"/>
        <v>0</v>
      </c>
      <c r="U152" s="327">
        <f t="shared" si="34"/>
        <v>28363.804060974791</v>
      </c>
    </row>
    <row r="153" spans="1:21" x14ac:dyDescent="0.25">
      <c r="A153" s="111">
        <f>Données!A153</f>
        <v>5652</v>
      </c>
      <c r="B153" s="112" t="str">
        <f>Données!B153</f>
        <v>Villars-sous-Yens</v>
      </c>
      <c r="C153" s="307">
        <f>Données!C153</f>
        <v>603</v>
      </c>
      <c r="D153" s="303">
        <f t="shared" si="30"/>
        <v>603</v>
      </c>
      <c r="E153" s="303">
        <f t="shared" si="35"/>
        <v>0</v>
      </c>
      <c r="F153" s="308">
        <f t="shared" si="35"/>
        <v>0</v>
      </c>
      <c r="G153" s="302">
        <f t="shared" si="35"/>
        <v>0</v>
      </c>
      <c r="H153" s="303">
        <f t="shared" si="35"/>
        <v>0</v>
      </c>
      <c r="I153" s="308">
        <f t="shared" si="35"/>
        <v>0</v>
      </c>
      <c r="J153" s="308">
        <f t="shared" si="35"/>
        <v>0</v>
      </c>
      <c r="K153" s="309">
        <f t="shared" si="31"/>
        <v>0</v>
      </c>
      <c r="L153" s="308">
        <f t="shared" si="32"/>
        <v>1206</v>
      </c>
      <c r="M153" s="326">
        <f>Données!AE153</f>
        <v>0</v>
      </c>
      <c r="N153" s="308">
        <v>0</v>
      </c>
      <c r="O153" s="303">
        <f t="shared" si="25"/>
        <v>603</v>
      </c>
      <c r="P153" s="308">
        <f t="shared" si="33"/>
        <v>1206</v>
      </c>
      <c r="Q153" s="309">
        <f t="shared" si="26"/>
        <v>18137.193901132341</v>
      </c>
      <c r="R153" s="308">
        <f t="shared" si="27"/>
        <v>39737.624929152182</v>
      </c>
      <c r="S153" s="302">
        <f t="shared" si="28"/>
        <v>29546.016588378108</v>
      </c>
      <c r="T153" s="303">
        <f t="shared" si="29"/>
        <v>0</v>
      </c>
      <c r="U153" s="327">
        <f t="shared" si="34"/>
        <v>87420.835418662638</v>
      </c>
    </row>
    <row r="154" spans="1:21" x14ac:dyDescent="0.25">
      <c r="A154" s="111">
        <f>Données!A154</f>
        <v>5653</v>
      </c>
      <c r="B154" s="112" t="str">
        <f>Données!B154</f>
        <v>Vufflens-le-Château</v>
      </c>
      <c r="C154" s="307">
        <f>Données!C154</f>
        <v>887</v>
      </c>
      <c r="D154" s="303">
        <f t="shared" si="30"/>
        <v>887</v>
      </c>
      <c r="E154" s="303">
        <f t="shared" si="35"/>
        <v>0</v>
      </c>
      <c r="F154" s="308">
        <f t="shared" si="35"/>
        <v>0</v>
      </c>
      <c r="G154" s="302">
        <f t="shared" si="35"/>
        <v>0</v>
      </c>
      <c r="H154" s="303">
        <f t="shared" si="35"/>
        <v>0</v>
      </c>
      <c r="I154" s="308">
        <f t="shared" si="35"/>
        <v>0</v>
      </c>
      <c r="J154" s="308">
        <f t="shared" si="35"/>
        <v>0</v>
      </c>
      <c r="K154" s="309">
        <f t="shared" si="31"/>
        <v>0</v>
      </c>
      <c r="L154" s="308">
        <f t="shared" si="32"/>
        <v>1774</v>
      </c>
      <c r="M154" s="326">
        <f>Données!AE154</f>
        <v>0</v>
      </c>
      <c r="N154" s="308">
        <v>0</v>
      </c>
      <c r="O154" s="303">
        <f t="shared" si="25"/>
        <v>887</v>
      </c>
      <c r="P154" s="308">
        <f t="shared" si="33"/>
        <v>1774</v>
      </c>
      <c r="Q154" s="309">
        <f t="shared" si="26"/>
        <v>26679.421211118388</v>
      </c>
      <c r="R154" s="308">
        <f t="shared" si="27"/>
        <v>58453.189572401301</v>
      </c>
      <c r="S154" s="302">
        <f t="shared" si="28"/>
        <v>43461.553422705445</v>
      </c>
      <c r="T154" s="303">
        <f t="shared" si="29"/>
        <v>0</v>
      </c>
      <c r="U154" s="327">
        <f t="shared" si="34"/>
        <v>128594.16420622513</v>
      </c>
    </row>
    <row r="155" spans="1:21" x14ac:dyDescent="0.25">
      <c r="A155" s="111">
        <f>Données!A155</f>
        <v>5654</v>
      </c>
      <c r="B155" s="112" t="str">
        <f>Données!B155</f>
        <v>Vullierens</v>
      </c>
      <c r="C155" s="307">
        <f>Données!C155</f>
        <v>577</v>
      </c>
      <c r="D155" s="303">
        <f t="shared" si="30"/>
        <v>577</v>
      </c>
      <c r="E155" s="303">
        <f t="shared" si="35"/>
        <v>0</v>
      </c>
      <c r="F155" s="308">
        <f t="shared" si="35"/>
        <v>0</v>
      </c>
      <c r="G155" s="302">
        <f t="shared" si="35"/>
        <v>0</v>
      </c>
      <c r="H155" s="303">
        <f t="shared" si="35"/>
        <v>0</v>
      </c>
      <c r="I155" s="308">
        <f t="shared" si="35"/>
        <v>0</v>
      </c>
      <c r="J155" s="308">
        <f t="shared" si="35"/>
        <v>0</v>
      </c>
      <c r="K155" s="309">
        <f t="shared" si="31"/>
        <v>0</v>
      </c>
      <c r="L155" s="308">
        <f t="shared" si="32"/>
        <v>1154</v>
      </c>
      <c r="M155" s="326">
        <f>Données!AE155</f>
        <v>0</v>
      </c>
      <c r="N155" s="308">
        <v>0</v>
      </c>
      <c r="O155" s="303">
        <f t="shared" si="25"/>
        <v>577</v>
      </c>
      <c r="P155" s="308">
        <f t="shared" si="33"/>
        <v>1154</v>
      </c>
      <c r="Q155" s="309">
        <f t="shared" si="26"/>
        <v>17355.159006556154</v>
      </c>
      <c r="R155" s="308">
        <f t="shared" si="27"/>
        <v>38024.228166037821</v>
      </c>
      <c r="S155" s="302">
        <f t="shared" si="28"/>
        <v>28272.058990869267</v>
      </c>
      <c r="T155" s="303">
        <f t="shared" si="29"/>
        <v>0</v>
      </c>
      <c r="U155" s="327">
        <f t="shared" si="34"/>
        <v>83651.446163463246</v>
      </c>
    </row>
    <row r="156" spans="1:21" x14ac:dyDescent="0.25">
      <c r="A156" s="111">
        <f>Données!A156</f>
        <v>5655</v>
      </c>
      <c r="B156" s="112" t="str">
        <f>Données!B156</f>
        <v>Yens</v>
      </c>
      <c r="C156" s="307">
        <f>Données!C156</f>
        <v>1481</v>
      </c>
      <c r="D156" s="303">
        <f t="shared" si="30"/>
        <v>1000</v>
      </c>
      <c r="E156" s="303">
        <f t="shared" si="35"/>
        <v>481</v>
      </c>
      <c r="F156" s="308">
        <f t="shared" si="35"/>
        <v>0</v>
      </c>
      <c r="G156" s="302">
        <f t="shared" si="35"/>
        <v>0</v>
      </c>
      <c r="H156" s="303">
        <f t="shared" si="35"/>
        <v>0</v>
      </c>
      <c r="I156" s="308">
        <f t="shared" si="35"/>
        <v>0</v>
      </c>
      <c r="J156" s="308">
        <f t="shared" si="35"/>
        <v>0</v>
      </c>
      <c r="K156" s="309">
        <f t="shared" si="31"/>
        <v>0</v>
      </c>
      <c r="L156" s="308">
        <f t="shared" si="32"/>
        <v>3443</v>
      </c>
      <c r="M156" s="326">
        <f>Données!AE156</f>
        <v>0</v>
      </c>
      <c r="N156" s="308">
        <v>0</v>
      </c>
      <c r="O156" s="303">
        <f t="shared" si="25"/>
        <v>1481</v>
      </c>
      <c r="P156" s="308">
        <f t="shared" si="33"/>
        <v>3443</v>
      </c>
      <c r="Q156" s="309">
        <f t="shared" si="26"/>
        <v>44545.910725666661</v>
      </c>
      <c r="R156" s="308">
        <f t="shared" si="27"/>
        <v>97597.7156220139</v>
      </c>
      <c r="S156" s="302">
        <f t="shared" si="28"/>
        <v>84350.692465825734</v>
      </c>
      <c r="T156" s="303">
        <f t="shared" si="29"/>
        <v>0</v>
      </c>
      <c r="U156" s="327">
        <f t="shared" si="34"/>
        <v>226494.31881350631</v>
      </c>
    </row>
    <row r="157" spans="1:21" x14ac:dyDescent="0.25">
      <c r="A157" s="111">
        <f>Données!A157</f>
        <v>5656</v>
      </c>
      <c r="B157" s="112" t="str">
        <f>Données!B157</f>
        <v>Hautemorges</v>
      </c>
      <c r="C157" s="307">
        <f>Données!C157</f>
        <v>4426</v>
      </c>
      <c r="D157" s="303">
        <f t="shared" si="30"/>
        <v>1000</v>
      </c>
      <c r="E157" s="303">
        <f t="shared" si="35"/>
        <v>2000</v>
      </c>
      <c r="F157" s="308">
        <f t="shared" si="35"/>
        <v>1426</v>
      </c>
      <c r="G157" s="302">
        <f t="shared" si="35"/>
        <v>0</v>
      </c>
      <c r="H157" s="303">
        <f t="shared" si="35"/>
        <v>0</v>
      </c>
      <c r="I157" s="308">
        <f t="shared" si="35"/>
        <v>0</v>
      </c>
      <c r="J157" s="308">
        <f t="shared" si="35"/>
        <v>0</v>
      </c>
      <c r="K157" s="309">
        <f t="shared" si="31"/>
        <v>0</v>
      </c>
      <c r="L157" s="308">
        <f t="shared" si="32"/>
        <v>12991</v>
      </c>
      <c r="M157" s="326">
        <f>Données!AE157</f>
        <v>0</v>
      </c>
      <c r="N157" s="308">
        <v>0</v>
      </c>
      <c r="O157" s="303">
        <f t="shared" si="25"/>
        <v>4426</v>
      </c>
      <c r="P157" s="308">
        <f t="shared" si="33"/>
        <v>12991</v>
      </c>
      <c r="Q157" s="309">
        <f t="shared" si="26"/>
        <v>133126.40166900787</v>
      </c>
      <c r="R157" s="308">
        <f t="shared" si="27"/>
        <v>291672.84898246691</v>
      </c>
      <c r="S157" s="302">
        <f t="shared" si="28"/>
        <v>318268.90671610285</v>
      </c>
      <c r="T157" s="303">
        <f t="shared" si="29"/>
        <v>0</v>
      </c>
      <c r="U157" s="327">
        <f t="shared" si="34"/>
        <v>743068.15736757766</v>
      </c>
    </row>
    <row r="158" spans="1:21" x14ac:dyDescent="0.25">
      <c r="A158" s="111">
        <f>Données!A158</f>
        <v>5661</v>
      </c>
      <c r="B158" s="112" t="str">
        <f>Données!B158</f>
        <v>Boulens</v>
      </c>
      <c r="C158" s="307">
        <f>Données!C158</f>
        <v>371</v>
      </c>
      <c r="D158" s="303">
        <f t="shared" si="30"/>
        <v>371</v>
      </c>
      <c r="E158" s="303">
        <f t="shared" si="35"/>
        <v>0</v>
      </c>
      <c r="F158" s="308">
        <f t="shared" si="35"/>
        <v>0</v>
      </c>
      <c r="G158" s="302">
        <f t="shared" si="35"/>
        <v>0</v>
      </c>
      <c r="H158" s="303">
        <f t="shared" si="35"/>
        <v>0</v>
      </c>
      <c r="I158" s="308">
        <f t="shared" si="35"/>
        <v>0</v>
      </c>
      <c r="J158" s="308">
        <f t="shared" si="35"/>
        <v>0</v>
      </c>
      <c r="K158" s="309">
        <f t="shared" si="31"/>
        <v>0</v>
      </c>
      <c r="L158" s="308">
        <f t="shared" si="32"/>
        <v>742</v>
      </c>
      <c r="M158" s="326">
        <f>Données!AE158</f>
        <v>0</v>
      </c>
      <c r="N158" s="308">
        <v>0</v>
      </c>
      <c r="O158" s="303">
        <f t="shared" si="25"/>
        <v>371</v>
      </c>
      <c r="P158" s="308">
        <f t="shared" si="33"/>
        <v>742</v>
      </c>
      <c r="Q158" s="309">
        <f t="shared" si="26"/>
        <v>11159.03638029867</v>
      </c>
      <c r="R158" s="308">
        <f t="shared" si="27"/>
        <v>24448.853812131772</v>
      </c>
      <c r="S158" s="302">
        <f t="shared" si="28"/>
        <v>18178.394949068454</v>
      </c>
      <c r="T158" s="303">
        <f t="shared" si="29"/>
        <v>0</v>
      </c>
      <c r="U158" s="327">
        <f t="shared" si="34"/>
        <v>53786.285141498898</v>
      </c>
    </row>
    <row r="159" spans="1:21" x14ac:dyDescent="0.25">
      <c r="A159" s="111">
        <f>Données!A159</f>
        <v>5663</v>
      </c>
      <c r="B159" s="112" t="str">
        <f>Données!B159</f>
        <v>Bussy-sur-Moudon</v>
      </c>
      <c r="C159" s="307">
        <f>Données!C159</f>
        <v>267</v>
      </c>
      <c r="D159" s="303">
        <f t="shared" si="30"/>
        <v>267</v>
      </c>
      <c r="E159" s="303">
        <f t="shared" si="35"/>
        <v>0</v>
      </c>
      <c r="F159" s="308">
        <f t="shared" si="35"/>
        <v>0</v>
      </c>
      <c r="G159" s="302">
        <f t="shared" si="35"/>
        <v>0</v>
      </c>
      <c r="H159" s="303">
        <f t="shared" si="35"/>
        <v>0</v>
      </c>
      <c r="I159" s="308">
        <f t="shared" si="35"/>
        <v>0</v>
      </c>
      <c r="J159" s="308">
        <f t="shared" si="35"/>
        <v>0</v>
      </c>
      <c r="K159" s="309">
        <f t="shared" si="31"/>
        <v>0</v>
      </c>
      <c r="L159" s="308">
        <f t="shared" si="32"/>
        <v>534</v>
      </c>
      <c r="M159" s="326">
        <f>Données!AE159</f>
        <v>0</v>
      </c>
      <c r="N159" s="308">
        <v>0</v>
      </c>
      <c r="O159" s="303">
        <f t="shared" si="25"/>
        <v>267</v>
      </c>
      <c r="P159" s="308">
        <f t="shared" si="33"/>
        <v>534</v>
      </c>
      <c r="Q159" s="309">
        <f t="shared" si="26"/>
        <v>8030.8968019939221</v>
      </c>
      <c r="R159" s="308">
        <f t="shared" si="27"/>
        <v>17595.266759674349</v>
      </c>
      <c r="S159" s="302">
        <f t="shared" si="28"/>
        <v>13082.564559033093</v>
      </c>
      <c r="T159" s="303">
        <f t="shared" si="29"/>
        <v>0</v>
      </c>
      <c r="U159" s="327">
        <f t="shared" si="34"/>
        <v>38708.728120701358</v>
      </c>
    </row>
    <row r="160" spans="1:21" x14ac:dyDescent="0.25">
      <c r="A160" s="111">
        <f>Données!A160</f>
        <v>5665</v>
      </c>
      <c r="B160" s="112" t="str">
        <f>Données!B160</f>
        <v>Chavannes-sur-Moudon</v>
      </c>
      <c r="C160" s="307">
        <f>Données!C160</f>
        <v>232</v>
      </c>
      <c r="D160" s="303">
        <f t="shared" si="30"/>
        <v>232</v>
      </c>
      <c r="E160" s="303">
        <f t="shared" si="35"/>
        <v>0</v>
      </c>
      <c r="F160" s="308">
        <f t="shared" si="35"/>
        <v>0</v>
      </c>
      <c r="G160" s="302">
        <f t="shared" si="35"/>
        <v>0</v>
      </c>
      <c r="H160" s="303">
        <f t="shared" si="35"/>
        <v>0</v>
      </c>
      <c r="I160" s="308">
        <f t="shared" si="35"/>
        <v>0</v>
      </c>
      <c r="J160" s="308">
        <f t="shared" si="35"/>
        <v>0</v>
      </c>
      <c r="K160" s="309">
        <f t="shared" si="31"/>
        <v>0</v>
      </c>
      <c r="L160" s="308">
        <f t="shared" si="32"/>
        <v>464</v>
      </c>
      <c r="M160" s="326">
        <f>Données!AE160</f>
        <v>0</v>
      </c>
      <c r="N160" s="308">
        <v>0</v>
      </c>
      <c r="O160" s="303">
        <f t="shared" si="25"/>
        <v>232</v>
      </c>
      <c r="P160" s="308">
        <f t="shared" si="33"/>
        <v>464</v>
      </c>
      <c r="Q160" s="309">
        <f t="shared" si="26"/>
        <v>6978.1575208336708</v>
      </c>
      <c r="R160" s="308">
        <f t="shared" si="27"/>
        <v>15288.771117020407</v>
      </c>
      <c r="S160" s="302">
        <f t="shared" si="28"/>
        <v>11367.621639309653</v>
      </c>
      <c r="T160" s="303">
        <f t="shared" si="29"/>
        <v>0</v>
      </c>
      <c r="U160" s="327">
        <f t="shared" si="34"/>
        <v>33634.550277163733</v>
      </c>
    </row>
    <row r="161" spans="1:21" x14ac:dyDescent="0.25">
      <c r="A161" s="111">
        <f>Données!A161</f>
        <v>5669</v>
      </c>
      <c r="B161" s="112" t="str">
        <f>Données!B161</f>
        <v>Curtilles</v>
      </c>
      <c r="C161" s="307">
        <f>Données!C161</f>
        <v>302</v>
      </c>
      <c r="D161" s="303">
        <f t="shared" si="30"/>
        <v>302</v>
      </c>
      <c r="E161" s="303">
        <f t="shared" si="35"/>
        <v>0</v>
      </c>
      <c r="F161" s="308">
        <f t="shared" si="35"/>
        <v>0</v>
      </c>
      <c r="G161" s="302">
        <f t="shared" si="35"/>
        <v>0</v>
      </c>
      <c r="H161" s="303">
        <f t="shared" si="35"/>
        <v>0</v>
      </c>
      <c r="I161" s="308">
        <f t="shared" si="35"/>
        <v>0</v>
      </c>
      <c r="J161" s="308">
        <f t="shared" si="35"/>
        <v>0</v>
      </c>
      <c r="K161" s="309">
        <f t="shared" si="31"/>
        <v>0</v>
      </c>
      <c r="L161" s="308">
        <f t="shared" si="32"/>
        <v>604</v>
      </c>
      <c r="M161" s="326">
        <f>Données!AE161</f>
        <v>0</v>
      </c>
      <c r="N161" s="308">
        <v>0</v>
      </c>
      <c r="O161" s="303">
        <f t="shared" si="25"/>
        <v>302</v>
      </c>
      <c r="P161" s="308">
        <f t="shared" si="33"/>
        <v>604</v>
      </c>
      <c r="Q161" s="309">
        <f t="shared" si="26"/>
        <v>9083.6360831541751</v>
      </c>
      <c r="R161" s="308">
        <f t="shared" si="27"/>
        <v>19901.762402328288</v>
      </c>
      <c r="S161" s="302">
        <f t="shared" si="28"/>
        <v>14797.507478756532</v>
      </c>
      <c r="T161" s="303">
        <f t="shared" si="29"/>
        <v>0</v>
      </c>
      <c r="U161" s="327">
        <f t="shared" si="34"/>
        <v>43782.905964238991</v>
      </c>
    </row>
    <row r="162" spans="1:21" x14ac:dyDescent="0.25">
      <c r="A162" s="111">
        <f>Données!A162</f>
        <v>5671</v>
      </c>
      <c r="B162" s="112" t="str">
        <f>Données!B162</f>
        <v>Dompierre</v>
      </c>
      <c r="C162" s="307">
        <f>Données!C162</f>
        <v>242</v>
      </c>
      <c r="D162" s="303">
        <f t="shared" si="30"/>
        <v>242</v>
      </c>
      <c r="E162" s="303">
        <f t="shared" si="35"/>
        <v>0</v>
      </c>
      <c r="F162" s="308">
        <f t="shared" si="35"/>
        <v>0</v>
      </c>
      <c r="G162" s="302">
        <f t="shared" si="35"/>
        <v>0</v>
      </c>
      <c r="H162" s="303">
        <f t="shared" si="35"/>
        <v>0</v>
      </c>
      <c r="I162" s="308">
        <f t="shared" si="35"/>
        <v>0</v>
      </c>
      <c r="J162" s="308">
        <f t="shared" si="35"/>
        <v>0</v>
      </c>
      <c r="K162" s="309">
        <f t="shared" si="31"/>
        <v>0</v>
      </c>
      <c r="L162" s="308">
        <f t="shared" si="32"/>
        <v>484</v>
      </c>
      <c r="M162" s="326">
        <f>Données!AE162</f>
        <v>0</v>
      </c>
      <c r="N162" s="308">
        <v>0</v>
      </c>
      <c r="O162" s="303">
        <f t="shared" si="25"/>
        <v>242</v>
      </c>
      <c r="P162" s="308">
        <f t="shared" si="33"/>
        <v>484</v>
      </c>
      <c r="Q162" s="309">
        <f t="shared" si="26"/>
        <v>7278.9401725937423</v>
      </c>
      <c r="R162" s="308">
        <f t="shared" si="27"/>
        <v>15947.769872064391</v>
      </c>
      <c r="S162" s="302">
        <f t="shared" si="28"/>
        <v>11857.605330659208</v>
      </c>
      <c r="T162" s="303">
        <f t="shared" si="29"/>
        <v>0</v>
      </c>
      <c r="U162" s="327">
        <f t="shared" si="34"/>
        <v>35084.315375317339</v>
      </c>
    </row>
    <row r="163" spans="1:21" x14ac:dyDescent="0.25">
      <c r="A163" s="111">
        <f>Données!A163</f>
        <v>5673</v>
      </c>
      <c r="B163" s="112" t="str">
        <f>Données!B163</f>
        <v>Hermenches</v>
      </c>
      <c r="C163" s="307">
        <f>Données!C163</f>
        <v>364</v>
      </c>
      <c r="D163" s="303">
        <f t="shared" si="30"/>
        <v>364</v>
      </c>
      <c r="E163" s="303">
        <f t="shared" si="35"/>
        <v>0</v>
      </c>
      <c r="F163" s="308">
        <f t="shared" si="35"/>
        <v>0</v>
      </c>
      <c r="G163" s="302">
        <f t="shared" si="35"/>
        <v>0</v>
      </c>
      <c r="H163" s="303">
        <f t="shared" si="35"/>
        <v>0</v>
      </c>
      <c r="I163" s="308">
        <f t="shared" si="35"/>
        <v>0</v>
      </c>
      <c r="J163" s="308">
        <f t="shared" si="35"/>
        <v>0</v>
      </c>
      <c r="K163" s="309">
        <f t="shared" si="31"/>
        <v>0</v>
      </c>
      <c r="L163" s="308">
        <f t="shared" si="32"/>
        <v>728</v>
      </c>
      <c r="M163" s="326">
        <f>Données!AE163</f>
        <v>0</v>
      </c>
      <c r="N163" s="308">
        <v>0</v>
      </c>
      <c r="O163" s="303">
        <f t="shared" si="25"/>
        <v>364</v>
      </c>
      <c r="P163" s="308">
        <f t="shared" si="33"/>
        <v>728</v>
      </c>
      <c r="Q163" s="309">
        <f t="shared" si="26"/>
        <v>10948.488524066621</v>
      </c>
      <c r="R163" s="308">
        <f t="shared" si="27"/>
        <v>23987.554683600985</v>
      </c>
      <c r="S163" s="302">
        <f t="shared" si="28"/>
        <v>17835.406365123767</v>
      </c>
      <c r="T163" s="303">
        <f t="shared" si="29"/>
        <v>0</v>
      </c>
      <c r="U163" s="327">
        <f t="shared" si="34"/>
        <v>52771.449572791375</v>
      </c>
    </row>
    <row r="164" spans="1:21" x14ac:dyDescent="0.25">
      <c r="A164" s="111">
        <f>Données!A164</f>
        <v>5674</v>
      </c>
      <c r="B164" s="112" t="str">
        <f>Données!B164</f>
        <v>Lovatens</v>
      </c>
      <c r="C164" s="307">
        <f>Données!C164</f>
        <v>152</v>
      </c>
      <c r="D164" s="303">
        <f t="shared" si="30"/>
        <v>152</v>
      </c>
      <c r="E164" s="303">
        <f t="shared" si="35"/>
        <v>0</v>
      </c>
      <c r="F164" s="308">
        <f t="shared" si="35"/>
        <v>0</v>
      </c>
      <c r="G164" s="302">
        <f t="shared" si="35"/>
        <v>0</v>
      </c>
      <c r="H164" s="303">
        <f t="shared" si="35"/>
        <v>0</v>
      </c>
      <c r="I164" s="308">
        <f t="shared" si="35"/>
        <v>0</v>
      </c>
      <c r="J164" s="308">
        <f t="shared" si="35"/>
        <v>0</v>
      </c>
      <c r="K164" s="309">
        <f t="shared" si="31"/>
        <v>0</v>
      </c>
      <c r="L164" s="308">
        <f t="shared" si="32"/>
        <v>304</v>
      </c>
      <c r="M164" s="326">
        <f>Données!AE164</f>
        <v>0</v>
      </c>
      <c r="N164" s="308">
        <v>0</v>
      </c>
      <c r="O164" s="303">
        <f t="shared" si="25"/>
        <v>152</v>
      </c>
      <c r="P164" s="308">
        <f t="shared" si="33"/>
        <v>304</v>
      </c>
      <c r="Q164" s="309">
        <f t="shared" si="26"/>
        <v>4571.896306753094</v>
      </c>
      <c r="R164" s="308">
        <f t="shared" si="27"/>
        <v>10016.781076668543</v>
      </c>
      <c r="S164" s="302">
        <f t="shared" si="28"/>
        <v>7447.7521085132212</v>
      </c>
      <c r="T164" s="303">
        <f t="shared" si="29"/>
        <v>0</v>
      </c>
      <c r="U164" s="327">
        <f t="shared" si="34"/>
        <v>22036.429491934858</v>
      </c>
    </row>
    <row r="165" spans="1:21" x14ac:dyDescent="0.25">
      <c r="A165" s="111">
        <f>Données!A165</f>
        <v>5675</v>
      </c>
      <c r="B165" s="112" t="str">
        <f>Données!B165</f>
        <v>Lucens</v>
      </c>
      <c r="C165" s="307">
        <f>Données!C165</f>
        <v>4892</v>
      </c>
      <c r="D165" s="303">
        <f t="shared" si="30"/>
        <v>1000</v>
      </c>
      <c r="E165" s="303">
        <f t="shared" si="35"/>
        <v>2000</v>
      </c>
      <c r="F165" s="308">
        <f t="shared" si="35"/>
        <v>1892</v>
      </c>
      <c r="G165" s="302">
        <f t="shared" si="35"/>
        <v>0</v>
      </c>
      <c r="H165" s="303">
        <f t="shared" si="35"/>
        <v>0</v>
      </c>
      <c r="I165" s="308">
        <f t="shared" si="35"/>
        <v>0</v>
      </c>
      <c r="J165" s="308">
        <f t="shared" si="35"/>
        <v>0</v>
      </c>
      <c r="K165" s="309">
        <f t="shared" si="31"/>
        <v>0</v>
      </c>
      <c r="L165" s="308">
        <f t="shared" si="32"/>
        <v>14622</v>
      </c>
      <c r="M165" s="326">
        <f>Données!AE165</f>
        <v>0</v>
      </c>
      <c r="N165" s="308">
        <v>0</v>
      </c>
      <c r="O165" s="303">
        <f t="shared" si="25"/>
        <v>4892</v>
      </c>
      <c r="P165" s="308">
        <f t="shared" si="33"/>
        <v>14622</v>
      </c>
      <c r="Q165" s="309">
        <f t="shared" si="26"/>
        <v>147142.87324102724</v>
      </c>
      <c r="R165" s="308">
        <f t="shared" si="27"/>
        <v>322382.19096751651</v>
      </c>
      <c r="S165" s="302">
        <f t="shared" si="28"/>
        <v>358227.07674565894</v>
      </c>
      <c r="T165" s="303">
        <f t="shared" si="29"/>
        <v>0</v>
      </c>
      <c r="U165" s="327">
        <f t="shared" si="34"/>
        <v>827752.14095420274</v>
      </c>
    </row>
    <row r="166" spans="1:21" x14ac:dyDescent="0.25">
      <c r="A166" s="111">
        <f>Données!A166</f>
        <v>5678</v>
      </c>
      <c r="B166" s="112" t="str">
        <f>Données!B166</f>
        <v>Moudon</v>
      </c>
      <c r="C166" s="307">
        <f>Données!C166</f>
        <v>6847</v>
      </c>
      <c r="D166" s="303">
        <f t="shared" si="30"/>
        <v>1000</v>
      </c>
      <c r="E166" s="303">
        <f t="shared" si="35"/>
        <v>2000</v>
      </c>
      <c r="F166" s="308">
        <f t="shared" si="35"/>
        <v>2000</v>
      </c>
      <c r="G166" s="302">
        <f t="shared" si="35"/>
        <v>1847</v>
      </c>
      <c r="H166" s="303">
        <f t="shared" si="35"/>
        <v>0</v>
      </c>
      <c r="I166" s="308">
        <f t="shared" si="35"/>
        <v>0</v>
      </c>
      <c r="J166" s="308">
        <f t="shared" si="35"/>
        <v>0</v>
      </c>
      <c r="K166" s="309">
        <f t="shared" si="31"/>
        <v>0</v>
      </c>
      <c r="L166" s="308">
        <f t="shared" si="32"/>
        <v>22388</v>
      </c>
      <c r="M166" s="326">
        <f>Données!AE166</f>
        <v>0</v>
      </c>
      <c r="N166" s="308">
        <v>0</v>
      </c>
      <c r="O166" s="303">
        <f t="shared" si="25"/>
        <v>6847</v>
      </c>
      <c r="P166" s="308">
        <f t="shared" si="33"/>
        <v>22388</v>
      </c>
      <c r="Q166" s="309">
        <f t="shared" si="26"/>
        <v>205945.88166012129</v>
      </c>
      <c r="R166" s="308">
        <f t="shared" si="27"/>
        <v>451216.44757861522</v>
      </c>
      <c r="S166" s="302">
        <f t="shared" si="28"/>
        <v>548487.74409669079</v>
      </c>
      <c r="T166" s="303">
        <f t="shared" si="29"/>
        <v>0</v>
      </c>
      <c r="U166" s="327">
        <f t="shared" si="34"/>
        <v>1205650.0733354273</v>
      </c>
    </row>
    <row r="167" spans="1:21" x14ac:dyDescent="0.25">
      <c r="A167" s="111">
        <f>Données!A167</f>
        <v>5680</v>
      </c>
      <c r="B167" s="112" t="str">
        <f>Données!B167</f>
        <v>Ogens</v>
      </c>
      <c r="C167" s="307">
        <f>Données!C167</f>
        <v>342</v>
      </c>
      <c r="D167" s="303">
        <f t="shared" si="30"/>
        <v>342</v>
      </c>
      <c r="E167" s="303">
        <f t="shared" si="35"/>
        <v>0</v>
      </c>
      <c r="F167" s="308">
        <f t="shared" si="35"/>
        <v>0</v>
      </c>
      <c r="G167" s="302">
        <f t="shared" si="35"/>
        <v>0</v>
      </c>
      <c r="H167" s="303">
        <f t="shared" si="35"/>
        <v>0</v>
      </c>
      <c r="I167" s="308">
        <f t="shared" si="35"/>
        <v>0</v>
      </c>
      <c r="J167" s="308">
        <f t="shared" si="35"/>
        <v>0</v>
      </c>
      <c r="K167" s="309">
        <f t="shared" si="31"/>
        <v>0</v>
      </c>
      <c r="L167" s="308">
        <f t="shared" si="32"/>
        <v>684</v>
      </c>
      <c r="M167" s="326">
        <f>Données!AE167</f>
        <v>0</v>
      </c>
      <c r="N167" s="308">
        <v>0</v>
      </c>
      <c r="O167" s="303">
        <f t="shared" si="25"/>
        <v>342</v>
      </c>
      <c r="P167" s="308">
        <f t="shared" si="33"/>
        <v>684</v>
      </c>
      <c r="Q167" s="309">
        <f t="shared" si="26"/>
        <v>10286.766690194463</v>
      </c>
      <c r="R167" s="308">
        <f t="shared" si="27"/>
        <v>22537.757422504223</v>
      </c>
      <c r="S167" s="302">
        <f t="shared" si="28"/>
        <v>16757.442244154747</v>
      </c>
      <c r="T167" s="303">
        <f t="shared" si="29"/>
        <v>0</v>
      </c>
      <c r="U167" s="327">
        <f t="shared" si="34"/>
        <v>49581.966356853431</v>
      </c>
    </row>
    <row r="168" spans="1:21" x14ac:dyDescent="0.25">
      <c r="A168" s="111">
        <f>Données!A168</f>
        <v>5683</v>
      </c>
      <c r="B168" s="112" t="str">
        <f>Données!B168</f>
        <v>Prévonloup</v>
      </c>
      <c r="C168" s="307">
        <f>Données!C168</f>
        <v>249</v>
      </c>
      <c r="D168" s="303">
        <f t="shared" si="30"/>
        <v>249</v>
      </c>
      <c r="E168" s="303">
        <f t="shared" si="35"/>
        <v>0</v>
      </c>
      <c r="F168" s="308">
        <f t="shared" si="35"/>
        <v>0</v>
      </c>
      <c r="G168" s="302">
        <f t="shared" si="35"/>
        <v>0</v>
      </c>
      <c r="H168" s="303">
        <f t="shared" si="35"/>
        <v>0</v>
      </c>
      <c r="I168" s="308">
        <f t="shared" si="35"/>
        <v>0</v>
      </c>
      <c r="J168" s="308">
        <f t="shared" si="35"/>
        <v>0</v>
      </c>
      <c r="K168" s="309">
        <f t="shared" si="31"/>
        <v>0</v>
      </c>
      <c r="L168" s="308">
        <f t="shared" si="32"/>
        <v>498</v>
      </c>
      <c r="M168" s="326">
        <f>Données!AE168</f>
        <v>0</v>
      </c>
      <c r="N168" s="308">
        <v>0</v>
      </c>
      <c r="O168" s="303">
        <f t="shared" si="25"/>
        <v>249</v>
      </c>
      <c r="P168" s="308">
        <f t="shared" si="33"/>
        <v>498</v>
      </c>
      <c r="Q168" s="309">
        <f t="shared" si="26"/>
        <v>7489.4880288257928</v>
      </c>
      <c r="R168" s="308">
        <f t="shared" si="27"/>
        <v>16409.06900059518</v>
      </c>
      <c r="S168" s="302">
        <f t="shared" si="28"/>
        <v>12200.593914603896</v>
      </c>
      <c r="T168" s="303">
        <f t="shared" si="29"/>
        <v>0</v>
      </c>
      <c r="U168" s="327">
        <f t="shared" si="34"/>
        <v>36099.15094402487</v>
      </c>
    </row>
    <row r="169" spans="1:21" x14ac:dyDescent="0.25">
      <c r="A169" s="111">
        <f>Données!A169</f>
        <v>5684</v>
      </c>
      <c r="B169" s="112" t="str">
        <f>Données!B169</f>
        <v>Rossenges</v>
      </c>
      <c r="C169" s="307">
        <f>Données!C169</f>
        <v>82</v>
      </c>
      <c r="D169" s="303">
        <f t="shared" si="30"/>
        <v>82</v>
      </c>
      <c r="E169" s="303">
        <f t="shared" si="35"/>
        <v>0</v>
      </c>
      <c r="F169" s="308">
        <f t="shared" si="35"/>
        <v>0</v>
      </c>
      <c r="G169" s="302">
        <f t="shared" si="35"/>
        <v>0</v>
      </c>
      <c r="H169" s="303">
        <f t="shared" si="35"/>
        <v>0</v>
      </c>
      <c r="I169" s="308">
        <f t="shared" si="35"/>
        <v>0</v>
      </c>
      <c r="J169" s="308">
        <f t="shared" si="35"/>
        <v>0</v>
      </c>
      <c r="K169" s="309">
        <f t="shared" si="31"/>
        <v>0</v>
      </c>
      <c r="L169" s="308">
        <f t="shared" si="32"/>
        <v>164</v>
      </c>
      <c r="M169" s="326">
        <f>Données!AE169</f>
        <v>0</v>
      </c>
      <c r="N169" s="308">
        <v>0</v>
      </c>
      <c r="O169" s="303">
        <f t="shared" si="25"/>
        <v>82</v>
      </c>
      <c r="P169" s="308">
        <f t="shared" si="33"/>
        <v>164</v>
      </c>
      <c r="Q169" s="309">
        <f t="shared" si="26"/>
        <v>2466.4177444325906</v>
      </c>
      <c r="R169" s="308">
        <f t="shared" si="27"/>
        <v>5403.7897913606612</v>
      </c>
      <c r="S169" s="302">
        <f t="shared" si="28"/>
        <v>4017.8662690663432</v>
      </c>
      <c r="T169" s="303">
        <f t="shared" si="29"/>
        <v>0</v>
      </c>
      <c r="U169" s="327">
        <f t="shared" si="34"/>
        <v>11888.073804859596</v>
      </c>
    </row>
    <row r="170" spans="1:21" x14ac:dyDescent="0.25">
      <c r="A170" s="111">
        <f>Données!A170</f>
        <v>5688</v>
      </c>
      <c r="B170" s="112" t="str">
        <f>Données!B170</f>
        <v>Syens</v>
      </c>
      <c r="C170" s="307">
        <f>Données!C170</f>
        <v>144</v>
      </c>
      <c r="D170" s="303">
        <f t="shared" si="30"/>
        <v>144</v>
      </c>
      <c r="E170" s="303">
        <f t="shared" si="35"/>
        <v>0</v>
      </c>
      <c r="F170" s="308">
        <f t="shared" si="35"/>
        <v>0</v>
      </c>
      <c r="G170" s="302">
        <f t="shared" si="35"/>
        <v>0</v>
      </c>
      <c r="H170" s="303">
        <f t="shared" si="35"/>
        <v>0</v>
      </c>
      <c r="I170" s="308">
        <f t="shared" si="35"/>
        <v>0</v>
      </c>
      <c r="J170" s="308">
        <f t="shared" si="35"/>
        <v>0</v>
      </c>
      <c r="K170" s="309">
        <f t="shared" si="31"/>
        <v>0</v>
      </c>
      <c r="L170" s="308">
        <f t="shared" si="32"/>
        <v>288</v>
      </c>
      <c r="M170" s="326">
        <f>Données!AE170</f>
        <v>0</v>
      </c>
      <c r="N170" s="308">
        <v>0</v>
      </c>
      <c r="O170" s="303">
        <f t="shared" si="25"/>
        <v>144</v>
      </c>
      <c r="P170" s="308">
        <f t="shared" si="33"/>
        <v>288</v>
      </c>
      <c r="Q170" s="309">
        <f t="shared" si="26"/>
        <v>4331.2701853450371</v>
      </c>
      <c r="R170" s="308">
        <f t="shared" si="27"/>
        <v>9489.5820726333568</v>
      </c>
      <c r="S170" s="302">
        <f t="shared" si="28"/>
        <v>7055.765155433578</v>
      </c>
      <c r="T170" s="303">
        <f t="shared" si="29"/>
        <v>0</v>
      </c>
      <c r="U170" s="327">
        <f t="shared" si="34"/>
        <v>20876.617413411972</v>
      </c>
    </row>
    <row r="171" spans="1:21" x14ac:dyDescent="0.25">
      <c r="A171" s="111">
        <f>Données!A171</f>
        <v>5690</v>
      </c>
      <c r="B171" s="112" t="str">
        <f>Données!B171</f>
        <v>Villars-le-Comte</v>
      </c>
      <c r="C171" s="307">
        <f>Données!C171</f>
        <v>129</v>
      </c>
      <c r="D171" s="303">
        <f t="shared" si="30"/>
        <v>129</v>
      </c>
      <c r="E171" s="303">
        <f t="shared" si="35"/>
        <v>0</v>
      </c>
      <c r="F171" s="308">
        <f t="shared" si="35"/>
        <v>0</v>
      </c>
      <c r="G171" s="302">
        <f t="shared" si="35"/>
        <v>0</v>
      </c>
      <c r="H171" s="303">
        <f t="shared" si="35"/>
        <v>0</v>
      </c>
      <c r="I171" s="308">
        <f t="shared" si="35"/>
        <v>0</v>
      </c>
      <c r="J171" s="308">
        <f t="shared" si="35"/>
        <v>0</v>
      </c>
      <c r="K171" s="309">
        <f t="shared" si="31"/>
        <v>0</v>
      </c>
      <c r="L171" s="308">
        <f t="shared" si="32"/>
        <v>258</v>
      </c>
      <c r="M171" s="326">
        <f>Données!AE171</f>
        <v>0</v>
      </c>
      <c r="N171" s="308">
        <v>0</v>
      </c>
      <c r="O171" s="303">
        <f t="shared" si="25"/>
        <v>129</v>
      </c>
      <c r="P171" s="308">
        <f t="shared" si="33"/>
        <v>258</v>
      </c>
      <c r="Q171" s="309">
        <f t="shared" si="26"/>
        <v>3880.0962077049289</v>
      </c>
      <c r="R171" s="308">
        <f t="shared" si="27"/>
        <v>8501.0839400673813</v>
      </c>
      <c r="S171" s="302">
        <f t="shared" si="28"/>
        <v>6320.7896184092469</v>
      </c>
      <c r="T171" s="303">
        <f t="shared" si="29"/>
        <v>0</v>
      </c>
      <c r="U171" s="327">
        <f t="shared" si="34"/>
        <v>18701.969766181555</v>
      </c>
    </row>
    <row r="172" spans="1:21" x14ac:dyDescent="0.25">
      <c r="A172" s="111">
        <f>Données!A172</f>
        <v>5692</v>
      </c>
      <c r="B172" s="112" t="str">
        <f>Données!B172</f>
        <v>Vucherens</v>
      </c>
      <c r="C172" s="307">
        <f>Données!C172</f>
        <v>634</v>
      </c>
      <c r="D172" s="303">
        <f t="shared" si="30"/>
        <v>634</v>
      </c>
      <c r="E172" s="303">
        <f t="shared" si="35"/>
        <v>0</v>
      </c>
      <c r="F172" s="308">
        <f t="shared" si="35"/>
        <v>0</v>
      </c>
      <c r="G172" s="302">
        <f t="shared" si="35"/>
        <v>0</v>
      </c>
      <c r="H172" s="303">
        <f t="shared" si="35"/>
        <v>0</v>
      </c>
      <c r="I172" s="308">
        <f t="shared" si="35"/>
        <v>0</v>
      </c>
      <c r="J172" s="308">
        <f t="shared" si="35"/>
        <v>0</v>
      </c>
      <c r="K172" s="309">
        <f t="shared" si="31"/>
        <v>0</v>
      </c>
      <c r="L172" s="308">
        <f t="shared" si="32"/>
        <v>1268</v>
      </c>
      <c r="M172" s="326">
        <f>Données!AE172</f>
        <v>0</v>
      </c>
      <c r="N172" s="308">
        <v>0</v>
      </c>
      <c r="O172" s="303">
        <f t="shared" si="25"/>
        <v>634</v>
      </c>
      <c r="P172" s="308">
        <f t="shared" si="33"/>
        <v>1268</v>
      </c>
      <c r="Q172" s="309">
        <f t="shared" si="26"/>
        <v>19069.620121588563</v>
      </c>
      <c r="R172" s="308">
        <f t="shared" si="27"/>
        <v>41780.521069788527</v>
      </c>
      <c r="S172" s="302">
        <f t="shared" si="28"/>
        <v>31064.966031561726</v>
      </c>
      <c r="T172" s="303">
        <f t="shared" si="29"/>
        <v>0</v>
      </c>
      <c r="U172" s="327">
        <f t="shared" si="34"/>
        <v>91915.107222938808</v>
      </c>
    </row>
    <row r="173" spans="1:21" x14ac:dyDescent="0.25">
      <c r="A173" s="111">
        <f>Données!A173</f>
        <v>5693</v>
      </c>
      <c r="B173" s="112" t="str">
        <f>Données!B173</f>
        <v>Montanaire</v>
      </c>
      <c r="C173" s="307">
        <f>Données!C173</f>
        <v>2856</v>
      </c>
      <c r="D173" s="303">
        <f t="shared" si="30"/>
        <v>1000</v>
      </c>
      <c r="E173" s="303">
        <f t="shared" si="35"/>
        <v>1856</v>
      </c>
      <c r="F173" s="308">
        <f t="shared" si="35"/>
        <v>0</v>
      </c>
      <c r="G173" s="302">
        <f t="shared" si="35"/>
        <v>0</v>
      </c>
      <c r="H173" s="303">
        <f t="shared" si="35"/>
        <v>0</v>
      </c>
      <c r="I173" s="308">
        <f t="shared" si="35"/>
        <v>0</v>
      </c>
      <c r="J173" s="308">
        <f t="shared" si="35"/>
        <v>0</v>
      </c>
      <c r="K173" s="309">
        <f t="shared" si="31"/>
        <v>0</v>
      </c>
      <c r="L173" s="308">
        <f t="shared" si="32"/>
        <v>7568</v>
      </c>
      <c r="M173" s="326">
        <f>Données!AE173</f>
        <v>0</v>
      </c>
      <c r="N173" s="308">
        <v>0</v>
      </c>
      <c r="O173" s="303">
        <f t="shared" si="25"/>
        <v>2856</v>
      </c>
      <c r="P173" s="308">
        <f t="shared" si="33"/>
        <v>7568</v>
      </c>
      <c r="Q173" s="309">
        <f t="shared" si="26"/>
        <v>85903.52534267657</v>
      </c>
      <c r="R173" s="308">
        <f t="shared" si="27"/>
        <v>188210.04444056159</v>
      </c>
      <c r="S173" s="302">
        <f t="shared" si="28"/>
        <v>185409.82880667126</v>
      </c>
      <c r="T173" s="303">
        <f t="shared" si="29"/>
        <v>0</v>
      </c>
      <c r="U173" s="327">
        <f t="shared" si="34"/>
        <v>459523.39858990943</v>
      </c>
    </row>
    <row r="174" spans="1:21" x14ac:dyDescent="0.25">
      <c r="A174" s="111">
        <f>Données!A174</f>
        <v>5701</v>
      </c>
      <c r="B174" s="112" t="str">
        <f>Données!B174</f>
        <v>Arnex-sur-Nyon</v>
      </c>
      <c r="C174" s="307">
        <f>Données!C174</f>
        <v>274</v>
      </c>
      <c r="D174" s="303">
        <f t="shared" si="30"/>
        <v>274</v>
      </c>
      <c r="E174" s="303">
        <f t="shared" si="35"/>
        <v>0</v>
      </c>
      <c r="F174" s="308">
        <f t="shared" si="35"/>
        <v>0</v>
      </c>
      <c r="G174" s="302">
        <f t="shared" si="35"/>
        <v>0</v>
      </c>
      <c r="H174" s="303">
        <f t="shared" si="35"/>
        <v>0</v>
      </c>
      <c r="I174" s="308">
        <f t="shared" si="35"/>
        <v>0</v>
      </c>
      <c r="J174" s="308">
        <f t="shared" si="35"/>
        <v>0</v>
      </c>
      <c r="K174" s="309">
        <f t="shared" si="31"/>
        <v>0</v>
      </c>
      <c r="L174" s="308">
        <f t="shared" si="32"/>
        <v>548</v>
      </c>
      <c r="M174" s="326">
        <f>Données!AE174</f>
        <v>0</v>
      </c>
      <c r="N174" s="308">
        <v>0</v>
      </c>
      <c r="O174" s="303">
        <f t="shared" si="25"/>
        <v>274</v>
      </c>
      <c r="P174" s="308">
        <f t="shared" si="33"/>
        <v>548</v>
      </c>
      <c r="Q174" s="309">
        <f t="shared" si="26"/>
        <v>8241.4446582259734</v>
      </c>
      <c r="R174" s="308">
        <f t="shared" si="27"/>
        <v>18056.565888205136</v>
      </c>
      <c r="S174" s="302">
        <f t="shared" si="28"/>
        <v>13425.55314297778</v>
      </c>
      <c r="T174" s="303">
        <f t="shared" si="29"/>
        <v>0</v>
      </c>
      <c r="U174" s="327">
        <f t="shared" si="34"/>
        <v>39723.563689408889</v>
      </c>
    </row>
    <row r="175" spans="1:21" x14ac:dyDescent="0.25">
      <c r="A175" s="111">
        <f>Données!A175</f>
        <v>5702</v>
      </c>
      <c r="B175" s="112" t="str">
        <f>Données!B175</f>
        <v>Arzier-Le Muids</v>
      </c>
      <c r="C175" s="307">
        <f>Données!C175</f>
        <v>2999</v>
      </c>
      <c r="D175" s="303">
        <f t="shared" si="30"/>
        <v>1000</v>
      </c>
      <c r="E175" s="303">
        <f t="shared" si="35"/>
        <v>1999</v>
      </c>
      <c r="F175" s="308">
        <f t="shared" si="35"/>
        <v>0</v>
      </c>
      <c r="G175" s="302">
        <f t="shared" si="35"/>
        <v>0</v>
      </c>
      <c r="H175" s="303">
        <f t="shared" si="35"/>
        <v>0</v>
      </c>
      <c r="I175" s="308">
        <f t="shared" si="35"/>
        <v>0</v>
      </c>
      <c r="J175" s="308">
        <f t="shared" si="35"/>
        <v>0</v>
      </c>
      <c r="K175" s="309">
        <f t="shared" si="31"/>
        <v>0</v>
      </c>
      <c r="L175" s="308">
        <f t="shared" si="32"/>
        <v>7997</v>
      </c>
      <c r="M175" s="326">
        <f>Données!AE175</f>
        <v>0</v>
      </c>
      <c r="N175" s="308">
        <v>0</v>
      </c>
      <c r="O175" s="303">
        <f t="shared" si="25"/>
        <v>2999</v>
      </c>
      <c r="P175" s="308">
        <f t="shared" si="33"/>
        <v>7997</v>
      </c>
      <c r="Q175" s="309">
        <f t="shared" si="26"/>
        <v>90204.717262845588</v>
      </c>
      <c r="R175" s="308">
        <f t="shared" si="27"/>
        <v>197633.72663769053</v>
      </c>
      <c r="S175" s="302">
        <f t="shared" si="28"/>
        <v>195919.97898611918</v>
      </c>
      <c r="T175" s="303">
        <f t="shared" si="29"/>
        <v>0</v>
      </c>
      <c r="U175" s="327">
        <f t="shared" si="34"/>
        <v>483758.42288665532</v>
      </c>
    </row>
    <row r="176" spans="1:21" x14ac:dyDescent="0.25">
      <c r="A176" s="111">
        <f>Données!A176</f>
        <v>5703</v>
      </c>
      <c r="B176" s="112" t="str">
        <f>Données!B176</f>
        <v>Bassins</v>
      </c>
      <c r="C176" s="307">
        <f>Données!C176</f>
        <v>1468</v>
      </c>
      <c r="D176" s="303">
        <f t="shared" si="30"/>
        <v>1000</v>
      </c>
      <c r="E176" s="303">
        <f t="shared" si="35"/>
        <v>468</v>
      </c>
      <c r="F176" s="308">
        <f t="shared" si="35"/>
        <v>0</v>
      </c>
      <c r="G176" s="302">
        <f t="shared" si="35"/>
        <v>0</v>
      </c>
      <c r="H176" s="303">
        <f t="shared" si="35"/>
        <v>0</v>
      </c>
      <c r="I176" s="308">
        <f t="shared" si="35"/>
        <v>0</v>
      </c>
      <c r="J176" s="308">
        <f t="shared" si="35"/>
        <v>0</v>
      </c>
      <c r="K176" s="309">
        <f t="shared" si="31"/>
        <v>0</v>
      </c>
      <c r="L176" s="308">
        <f t="shared" si="32"/>
        <v>3404</v>
      </c>
      <c r="M176" s="326">
        <f>Données!AE176</f>
        <v>0</v>
      </c>
      <c r="N176" s="308">
        <v>0</v>
      </c>
      <c r="O176" s="303">
        <f t="shared" si="25"/>
        <v>1468</v>
      </c>
      <c r="P176" s="308">
        <f t="shared" si="33"/>
        <v>3404</v>
      </c>
      <c r="Q176" s="309">
        <f t="shared" si="26"/>
        <v>44154.893278378571</v>
      </c>
      <c r="R176" s="308">
        <f t="shared" si="27"/>
        <v>96741.017240456713</v>
      </c>
      <c r="S176" s="302">
        <f t="shared" si="28"/>
        <v>83395.224267694095</v>
      </c>
      <c r="T176" s="303">
        <f t="shared" si="29"/>
        <v>0</v>
      </c>
      <c r="U176" s="327">
        <f t="shared" si="34"/>
        <v>224291.13478652941</v>
      </c>
    </row>
    <row r="177" spans="1:21" x14ac:dyDescent="0.25">
      <c r="A177" s="111">
        <f>Données!A177</f>
        <v>5704</v>
      </c>
      <c r="B177" s="112" t="str">
        <f>Données!B177</f>
        <v>Begnins</v>
      </c>
      <c r="C177" s="307">
        <f>Données!C177</f>
        <v>2047</v>
      </c>
      <c r="D177" s="303">
        <f t="shared" si="30"/>
        <v>1000</v>
      </c>
      <c r="E177" s="303">
        <f t="shared" si="35"/>
        <v>1047</v>
      </c>
      <c r="F177" s="308">
        <f t="shared" si="35"/>
        <v>0</v>
      </c>
      <c r="G177" s="302">
        <f t="shared" si="35"/>
        <v>0</v>
      </c>
      <c r="H177" s="303">
        <f t="shared" si="35"/>
        <v>0</v>
      </c>
      <c r="I177" s="308">
        <f t="shared" si="35"/>
        <v>0</v>
      </c>
      <c r="J177" s="308">
        <f t="shared" si="35"/>
        <v>0</v>
      </c>
      <c r="K177" s="309">
        <f t="shared" si="31"/>
        <v>0</v>
      </c>
      <c r="L177" s="308">
        <f t="shared" si="32"/>
        <v>5141</v>
      </c>
      <c r="M177" s="326">
        <f>Données!AE177</f>
        <v>0</v>
      </c>
      <c r="N177" s="308">
        <v>0</v>
      </c>
      <c r="O177" s="303">
        <f t="shared" si="25"/>
        <v>2047</v>
      </c>
      <c r="P177" s="308">
        <f t="shared" si="33"/>
        <v>5141</v>
      </c>
      <c r="Q177" s="309">
        <f t="shared" si="26"/>
        <v>61570.208815286736</v>
      </c>
      <c r="R177" s="308">
        <f t="shared" si="27"/>
        <v>134897.04515750334</v>
      </c>
      <c r="S177" s="302">
        <f t="shared" si="28"/>
        <v>125950.30786140286</v>
      </c>
      <c r="T177" s="303">
        <f t="shared" si="29"/>
        <v>0</v>
      </c>
      <c r="U177" s="327">
        <f t="shared" si="34"/>
        <v>322417.56183419295</v>
      </c>
    </row>
    <row r="178" spans="1:21" x14ac:dyDescent="0.25">
      <c r="A178" s="111">
        <f>Données!A178</f>
        <v>5705</v>
      </c>
      <c r="B178" s="112" t="str">
        <f>Données!B178</f>
        <v>Bogis-Bossey</v>
      </c>
      <c r="C178" s="307">
        <f>Données!C178</f>
        <v>961</v>
      </c>
      <c r="D178" s="303">
        <f t="shared" si="30"/>
        <v>961</v>
      </c>
      <c r="E178" s="303">
        <f t="shared" si="35"/>
        <v>0</v>
      </c>
      <c r="F178" s="308">
        <f t="shared" si="35"/>
        <v>0</v>
      </c>
      <c r="G178" s="302">
        <f t="shared" si="35"/>
        <v>0</v>
      </c>
      <c r="H178" s="303">
        <f t="shared" si="35"/>
        <v>0</v>
      </c>
      <c r="I178" s="308">
        <f t="shared" si="35"/>
        <v>0</v>
      </c>
      <c r="J178" s="308">
        <f t="shared" si="35"/>
        <v>0</v>
      </c>
      <c r="K178" s="309">
        <f t="shared" si="31"/>
        <v>0</v>
      </c>
      <c r="L178" s="308">
        <f t="shared" si="32"/>
        <v>1922</v>
      </c>
      <c r="M178" s="326">
        <f>Données!AE178</f>
        <v>0</v>
      </c>
      <c r="N178" s="308">
        <v>0</v>
      </c>
      <c r="O178" s="303">
        <f t="shared" si="25"/>
        <v>961</v>
      </c>
      <c r="P178" s="308">
        <f t="shared" si="33"/>
        <v>1922</v>
      </c>
      <c r="Q178" s="309">
        <f t="shared" si="26"/>
        <v>28905.21283414292</v>
      </c>
      <c r="R178" s="308">
        <f t="shared" si="27"/>
        <v>63329.780359726778</v>
      </c>
      <c r="S178" s="302">
        <f t="shared" si="28"/>
        <v>47087.432738692143</v>
      </c>
      <c r="T178" s="303">
        <f t="shared" si="29"/>
        <v>0</v>
      </c>
      <c r="U178" s="327">
        <f t="shared" si="34"/>
        <v>139322.42593256183</v>
      </c>
    </row>
    <row r="179" spans="1:21" x14ac:dyDescent="0.25">
      <c r="A179" s="111">
        <f>Données!A179</f>
        <v>5706</v>
      </c>
      <c r="B179" s="112" t="str">
        <f>Données!B179</f>
        <v>Borex</v>
      </c>
      <c r="C179" s="307">
        <f>Données!C179</f>
        <v>1168</v>
      </c>
      <c r="D179" s="303">
        <f t="shared" si="30"/>
        <v>1000</v>
      </c>
      <c r="E179" s="303">
        <f t="shared" si="35"/>
        <v>168</v>
      </c>
      <c r="F179" s="308">
        <f t="shared" si="35"/>
        <v>0</v>
      </c>
      <c r="G179" s="302">
        <f t="shared" si="35"/>
        <v>0</v>
      </c>
      <c r="H179" s="303">
        <f t="shared" si="35"/>
        <v>0</v>
      </c>
      <c r="I179" s="308">
        <f t="shared" si="35"/>
        <v>0</v>
      </c>
      <c r="J179" s="308">
        <f t="shared" si="35"/>
        <v>0</v>
      </c>
      <c r="K179" s="309">
        <f t="shared" si="31"/>
        <v>0</v>
      </c>
      <c r="L179" s="308">
        <f t="shared" si="32"/>
        <v>2504</v>
      </c>
      <c r="M179" s="326">
        <f>Données!AE179</f>
        <v>0</v>
      </c>
      <c r="N179" s="308">
        <v>0</v>
      </c>
      <c r="O179" s="303">
        <f t="shared" si="25"/>
        <v>1168</v>
      </c>
      <c r="P179" s="308">
        <f t="shared" si="33"/>
        <v>2504</v>
      </c>
      <c r="Q179" s="309">
        <f t="shared" si="26"/>
        <v>35131.413725576407</v>
      </c>
      <c r="R179" s="308">
        <f t="shared" si="27"/>
        <v>76971.054589137231</v>
      </c>
      <c r="S179" s="302">
        <f t="shared" si="28"/>
        <v>61345.958156964167</v>
      </c>
      <c r="T179" s="303">
        <f t="shared" si="29"/>
        <v>0</v>
      </c>
      <c r="U179" s="327">
        <f t="shared" si="34"/>
        <v>173448.42647167781</v>
      </c>
    </row>
    <row r="180" spans="1:21" x14ac:dyDescent="0.25">
      <c r="A180" s="111">
        <f>Données!A180</f>
        <v>5707</v>
      </c>
      <c r="B180" s="112" t="str">
        <f>Données!B180</f>
        <v>Chavannes-de-Bogis</v>
      </c>
      <c r="C180" s="307">
        <f>Données!C180</f>
        <v>1423</v>
      </c>
      <c r="D180" s="303">
        <f t="shared" si="30"/>
        <v>1000</v>
      </c>
      <c r="E180" s="303">
        <f t="shared" si="35"/>
        <v>423</v>
      </c>
      <c r="F180" s="308">
        <f t="shared" si="35"/>
        <v>0</v>
      </c>
      <c r="G180" s="302">
        <f t="shared" si="35"/>
        <v>0</v>
      </c>
      <c r="H180" s="303">
        <f t="shared" si="35"/>
        <v>0</v>
      </c>
      <c r="I180" s="308">
        <f t="shared" si="35"/>
        <v>0</v>
      </c>
      <c r="J180" s="308">
        <f t="shared" si="35"/>
        <v>0</v>
      </c>
      <c r="K180" s="309">
        <f t="shared" si="31"/>
        <v>0</v>
      </c>
      <c r="L180" s="308">
        <f t="shared" si="32"/>
        <v>3269</v>
      </c>
      <c r="M180" s="326">
        <f>Données!AE180</f>
        <v>0</v>
      </c>
      <c r="N180" s="308">
        <v>0</v>
      </c>
      <c r="O180" s="303">
        <f t="shared" si="25"/>
        <v>1423</v>
      </c>
      <c r="P180" s="308">
        <f t="shared" si="33"/>
        <v>3269</v>
      </c>
      <c r="Q180" s="309">
        <f t="shared" si="26"/>
        <v>42801.371345458247</v>
      </c>
      <c r="R180" s="308">
        <f t="shared" si="27"/>
        <v>93775.522842758801</v>
      </c>
      <c r="S180" s="302">
        <f t="shared" si="28"/>
        <v>80087.834351084603</v>
      </c>
      <c r="T180" s="303">
        <f t="shared" si="29"/>
        <v>0</v>
      </c>
      <c r="U180" s="327">
        <f t="shared" si="34"/>
        <v>216664.72853930166</v>
      </c>
    </row>
    <row r="181" spans="1:21" x14ac:dyDescent="0.25">
      <c r="A181" s="111">
        <f>Données!A181</f>
        <v>5708</v>
      </c>
      <c r="B181" s="112" t="str">
        <f>Données!B181</f>
        <v>Chavannes-des-Bois</v>
      </c>
      <c r="C181" s="307">
        <f>Données!C181</f>
        <v>983</v>
      </c>
      <c r="D181" s="303">
        <f t="shared" si="30"/>
        <v>983</v>
      </c>
      <c r="E181" s="303">
        <f t="shared" si="35"/>
        <v>0</v>
      </c>
      <c r="F181" s="308">
        <f t="shared" si="35"/>
        <v>0</v>
      </c>
      <c r="G181" s="302">
        <f t="shared" si="35"/>
        <v>0</v>
      </c>
      <c r="H181" s="303">
        <f t="shared" si="35"/>
        <v>0</v>
      </c>
      <c r="I181" s="308">
        <f t="shared" si="35"/>
        <v>0</v>
      </c>
      <c r="J181" s="308">
        <f t="shared" si="35"/>
        <v>0</v>
      </c>
      <c r="K181" s="309">
        <f t="shared" si="31"/>
        <v>0</v>
      </c>
      <c r="L181" s="308">
        <f t="shared" si="32"/>
        <v>1966</v>
      </c>
      <c r="M181" s="326">
        <f>Données!AE181</f>
        <v>0</v>
      </c>
      <c r="N181" s="308">
        <v>0</v>
      </c>
      <c r="O181" s="303">
        <f t="shared" si="25"/>
        <v>983</v>
      </c>
      <c r="P181" s="308">
        <f t="shared" si="33"/>
        <v>1966</v>
      </c>
      <c r="Q181" s="309">
        <f t="shared" si="26"/>
        <v>29566.934668015077</v>
      </c>
      <c r="R181" s="308">
        <f t="shared" si="27"/>
        <v>64779.57762082354</v>
      </c>
      <c r="S181" s="302">
        <f t="shared" si="28"/>
        <v>48165.396859661159</v>
      </c>
      <c r="T181" s="303">
        <f t="shared" si="29"/>
        <v>0</v>
      </c>
      <c r="U181" s="327">
        <f t="shared" si="34"/>
        <v>142511.90914849978</v>
      </c>
    </row>
    <row r="182" spans="1:21" x14ac:dyDescent="0.25">
      <c r="A182" s="111">
        <f>Données!A182</f>
        <v>5709</v>
      </c>
      <c r="B182" s="112" t="str">
        <f>Données!B182</f>
        <v>Chéserex</v>
      </c>
      <c r="C182" s="307">
        <f>Données!C182</f>
        <v>1272</v>
      </c>
      <c r="D182" s="303">
        <f t="shared" si="30"/>
        <v>1000</v>
      </c>
      <c r="E182" s="303">
        <f t="shared" si="35"/>
        <v>272</v>
      </c>
      <c r="F182" s="308">
        <f t="shared" si="35"/>
        <v>0</v>
      </c>
      <c r="G182" s="302">
        <f t="shared" si="35"/>
        <v>0</v>
      </c>
      <c r="H182" s="303">
        <f t="shared" si="35"/>
        <v>0</v>
      </c>
      <c r="I182" s="308">
        <f t="shared" si="35"/>
        <v>0</v>
      </c>
      <c r="J182" s="308">
        <f t="shared" si="35"/>
        <v>0</v>
      </c>
      <c r="K182" s="309">
        <f t="shared" si="31"/>
        <v>0</v>
      </c>
      <c r="L182" s="308">
        <f t="shared" si="32"/>
        <v>2816</v>
      </c>
      <c r="M182" s="326">
        <f>Données!AE182</f>
        <v>0</v>
      </c>
      <c r="N182" s="308">
        <v>0</v>
      </c>
      <c r="O182" s="303">
        <f t="shared" si="25"/>
        <v>1272</v>
      </c>
      <c r="P182" s="308">
        <f t="shared" si="33"/>
        <v>2816</v>
      </c>
      <c r="Q182" s="309">
        <f t="shared" si="26"/>
        <v>38259.553303881155</v>
      </c>
      <c r="R182" s="308">
        <f t="shared" si="27"/>
        <v>83824.641641594644</v>
      </c>
      <c r="S182" s="302">
        <f t="shared" si="28"/>
        <v>68989.703742017213</v>
      </c>
      <c r="T182" s="303">
        <f t="shared" si="29"/>
        <v>0</v>
      </c>
      <c r="U182" s="327">
        <f t="shared" si="34"/>
        <v>191073.898687493</v>
      </c>
    </row>
    <row r="183" spans="1:21" x14ac:dyDescent="0.25">
      <c r="A183" s="111">
        <f>Données!A183</f>
        <v>5710</v>
      </c>
      <c r="B183" s="112" t="str">
        <f>Données!B183</f>
        <v>Coinsins</v>
      </c>
      <c r="C183" s="307">
        <f>Données!C183</f>
        <v>510</v>
      </c>
      <c r="D183" s="303">
        <f t="shared" si="30"/>
        <v>510</v>
      </c>
      <c r="E183" s="303">
        <f t="shared" si="35"/>
        <v>0</v>
      </c>
      <c r="F183" s="308">
        <f t="shared" si="35"/>
        <v>0</v>
      </c>
      <c r="G183" s="302">
        <f t="shared" si="35"/>
        <v>0</v>
      </c>
      <c r="H183" s="303">
        <f t="shared" si="35"/>
        <v>0</v>
      </c>
      <c r="I183" s="308">
        <f t="shared" si="35"/>
        <v>0</v>
      </c>
      <c r="J183" s="308">
        <f t="shared" si="35"/>
        <v>0</v>
      </c>
      <c r="K183" s="309">
        <f t="shared" si="31"/>
        <v>0</v>
      </c>
      <c r="L183" s="308">
        <f t="shared" si="32"/>
        <v>1020</v>
      </c>
      <c r="M183" s="326">
        <f>Données!AE183</f>
        <v>0</v>
      </c>
      <c r="N183" s="308">
        <v>0</v>
      </c>
      <c r="O183" s="303">
        <f t="shared" si="25"/>
        <v>510</v>
      </c>
      <c r="P183" s="308">
        <f t="shared" si="33"/>
        <v>1020</v>
      </c>
      <c r="Q183" s="309">
        <f t="shared" si="26"/>
        <v>15339.915239763672</v>
      </c>
      <c r="R183" s="308">
        <f t="shared" si="27"/>
        <v>33608.936507243139</v>
      </c>
      <c r="S183" s="302">
        <f t="shared" si="28"/>
        <v>24989.168258827256</v>
      </c>
      <c r="T183" s="303">
        <f t="shared" si="29"/>
        <v>0</v>
      </c>
      <c r="U183" s="327">
        <f t="shared" si="34"/>
        <v>73938.020005834071</v>
      </c>
    </row>
    <row r="184" spans="1:21" x14ac:dyDescent="0.25">
      <c r="A184" s="111">
        <f>Données!A184</f>
        <v>5711</v>
      </c>
      <c r="B184" s="112" t="str">
        <f>Données!B184</f>
        <v>Commugny</v>
      </c>
      <c r="C184" s="307">
        <f>Données!C184</f>
        <v>2968</v>
      </c>
      <c r="D184" s="303">
        <f t="shared" si="30"/>
        <v>1000</v>
      </c>
      <c r="E184" s="303">
        <f t="shared" si="35"/>
        <v>1968</v>
      </c>
      <c r="F184" s="308">
        <f t="shared" si="35"/>
        <v>0</v>
      </c>
      <c r="G184" s="302">
        <f t="shared" si="35"/>
        <v>0</v>
      </c>
      <c r="H184" s="303">
        <f t="shared" si="35"/>
        <v>0</v>
      </c>
      <c r="I184" s="308">
        <f t="shared" si="35"/>
        <v>0</v>
      </c>
      <c r="J184" s="308">
        <f t="shared" si="35"/>
        <v>0</v>
      </c>
      <c r="K184" s="309">
        <f t="shared" si="31"/>
        <v>0</v>
      </c>
      <c r="L184" s="308">
        <f t="shared" si="32"/>
        <v>7904</v>
      </c>
      <c r="M184" s="326">
        <f>Données!AE184</f>
        <v>0</v>
      </c>
      <c r="N184" s="308">
        <v>0</v>
      </c>
      <c r="O184" s="303">
        <f t="shared" si="25"/>
        <v>2968</v>
      </c>
      <c r="P184" s="308">
        <f t="shared" si="33"/>
        <v>7904</v>
      </c>
      <c r="Q184" s="309">
        <f t="shared" si="26"/>
        <v>89272.291042389363</v>
      </c>
      <c r="R184" s="308">
        <f t="shared" si="27"/>
        <v>195590.83049705418</v>
      </c>
      <c r="S184" s="302">
        <f t="shared" si="28"/>
        <v>193641.55482134374</v>
      </c>
      <c r="T184" s="303">
        <f t="shared" si="29"/>
        <v>0</v>
      </c>
      <c r="U184" s="327">
        <f t="shared" si="34"/>
        <v>478504.6763607873</v>
      </c>
    </row>
    <row r="185" spans="1:21" x14ac:dyDescent="0.25">
      <c r="A185" s="111">
        <f>Données!A185</f>
        <v>5712</v>
      </c>
      <c r="B185" s="112" t="str">
        <f>Données!B185</f>
        <v>Coppet</v>
      </c>
      <c r="C185" s="307">
        <f>Données!C185</f>
        <v>3233</v>
      </c>
      <c r="D185" s="303">
        <f t="shared" si="30"/>
        <v>1000</v>
      </c>
      <c r="E185" s="303">
        <f t="shared" si="35"/>
        <v>2000</v>
      </c>
      <c r="F185" s="308">
        <f t="shared" si="35"/>
        <v>233</v>
      </c>
      <c r="G185" s="302">
        <f t="shared" si="35"/>
        <v>0</v>
      </c>
      <c r="H185" s="303">
        <f t="shared" si="35"/>
        <v>0</v>
      </c>
      <c r="I185" s="308">
        <f t="shared" si="35"/>
        <v>0</v>
      </c>
      <c r="J185" s="308">
        <f t="shared" si="35"/>
        <v>0</v>
      </c>
      <c r="K185" s="309">
        <f t="shared" si="31"/>
        <v>0</v>
      </c>
      <c r="L185" s="308">
        <f t="shared" si="32"/>
        <v>8815.5</v>
      </c>
      <c r="M185" s="326">
        <f>Données!AE185</f>
        <v>0</v>
      </c>
      <c r="N185" s="308">
        <v>0</v>
      </c>
      <c r="O185" s="303">
        <f t="shared" si="25"/>
        <v>3233</v>
      </c>
      <c r="P185" s="308">
        <f t="shared" si="33"/>
        <v>8815.5</v>
      </c>
      <c r="Q185" s="309">
        <f t="shared" si="26"/>
        <v>97243.031314031279</v>
      </c>
      <c r="R185" s="308">
        <f t="shared" si="27"/>
        <v>213054.29750571973</v>
      </c>
      <c r="S185" s="302">
        <f t="shared" si="28"/>
        <v>215972.56155459967</v>
      </c>
      <c r="T185" s="303">
        <f t="shared" si="29"/>
        <v>0</v>
      </c>
      <c r="U185" s="327">
        <f t="shared" si="34"/>
        <v>526269.89037435071</v>
      </c>
    </row>
    <row r="186" spans="1:21" x14ac:dyDescent="0.25">
      <c r="A186" s="111">
        <f>Données!A186</f>
        <v>5713</v>
      </c>
      <c r="B186" s="112" t="str">
        <f>Données!B186</f>
        <v>Crans</v>
      </c>
      <c r="C186" s="307">
        <f>Données!C186</f>
        <v>2483</v>
      </c>
      <c r="D186" s="303">
        <f t="shared" si="30"/>
        <v>1000</v>
      </c>
      <c r="E186" s="303">
        <f t="shared" si="35"/>
        <v>1483</v>
      </c>
      <c r="F186" s="308">
        <f t="shared" si="35"/>
        <v>0</v>
      </c>
      <c r="G186" s="302">
        <f t="shared" si="35"/>
        <v>0</v>
      </c>
      <c r="H186" s="303">
        <f t="shared" si="35"/>
        <v>0</v>
      </c>
      <c r="I186" s="308">
        <f t="shared" si="35"/>
        <v>0</v>
      </c>
      <c r="J186" s="308">
        <f t="shared" si="35"/>
        <v>0</v>
      </c>
      <c r="K186" s="309">
        <f t="shared" si="31"/>
        <v>0</v>
      </c>
      <c r="L186" s="308">
        <f t="shared" si="32"/>
        <v>6449</v>
      </c>
      <c r="M186" s="326">
        <f>Données!AE186</f>
        <v>1</v>
      </c>
      <c r="N186" s="308">
        <v>1</v>
      </c>
      <c r="O186" s="303">
        <f t="shared" si="25"/>
        <v>0</v>
      </c>
      <c r="P186" s="308">
        <f t="shared" si="33"/>
        <v>0</v>
      </c>
      <c r="Q186" s="309">
        <f t="shared" si="26"/>
        <v>74684.332432025883</v>
      </c>
      <c r="R186" s="308">
        <f t="shared" si="27"/>
        <v>0</v>
      </c>
      <c r="S186" s="302">
        <f t="shared" si="28"/>
        <v>0</v>
      </c>
      <c r="T186" s="303">
        <f t="shared" si="29"/>
        <v>0</v>
      </c>
      <c r="U186" s="327">
        <f t="shared" si="34"/>
        <v>74684.332432025883</v>
      </c>
    </row>
    <row r="187" spans="1:21" x14ac:dyDescent="0.25">
      <c r="A187" s="111">
        <f>Données!A187</f>
        <v>5714</v>
      </c>
      <c r="B187" s="112" t="str">
        <f>Données!B187</f>
        <v>Crassier</v>
      </c>
      <c r="C187" s="307">
        <f>Données!C187</f>
        <v>1272</v>
      </c>
      <c r="D187" s="303">
        <f t="shared" si="30"/>
        <v>1000</v>
      </c>
      <c r="E187" s="303">
        <f t="shared" si="35"/>
        <v>272</v>
      </c>
      <c r="F187" s="308">
        <f t="shared" si="35"/>
        <v>0</v>
      </c>
      <c r="G187" s="302">
        <f t="shared" si="35"/>
        <v>0</v>
      </c>
      <c r="H187" s="303">
        <f t="shared" si="35"/>
        <v>0</v>
      </c>
      <c r="I187" s="308">
        <f t="shared" si="35"/>
        <v>0</v>
      </c>
      <c r="J187" s="308">
        <f t="shared" si="35"/>
        <v>0</v>
      </c>
      <c r="K187" s="309">
        <f t="shared" si="31"/>
        <v>0</v>
      </c>
      <c r="L187" s="308">
        <f t="shared" si="32"/>
        <v>2816</v>
      </c>
      <c r="M187" s="326">
        <f>Données!AE187</f>
        <v>0</v>
      </c>
      <c r="N187" s="308">
        <v>0</v>
      </c>
      <c r="O187" s="303">
        <f t="shared" si="25"/>
        <v>1272</v>
      </c>
      <c r="P187" s="308">
        <f t="shared" si="33"/>
        <v>2816</v>
      </c>
      <c r="Q187" s="309">
        <f t="shared" si="26"/>
        <v>38259.553303881155</v>
      </c>
      <c r="R187" s="308">
        <f t="shared" si="27"/>
        <v>83824.641641594644</v>
      </c>
      <c r="S187" s="302">
        <f t="shared" si="28"/>
        <v>68989.703742017213</v>
      </c>
      <c r="T187" s="303">
        <f t="shared" si="29"/>
        <v>0</v>
      </c>
      <c r="U187" s="327">
        <f t="shared" si="34"/>
        <v>191073.898687493</v>
      </c>
    </row>
    <row r="188" spans="1:21" x14ac:dyDescent="0.25">
      <c r="A188" s="111">
        <f>Données!A188</f>
        <v>5715</v>
      </c>
      <c r="B188" s="112" t="str">
        <f>Données!B188</f>
        <v>Duillier</v>
      </c>
      <c r="C188" s="307">
        <f>Données!C188</f>
        <v>1120</v>
      </c>
      <c r="D188" s="303">
        <f t="shared" si="30"/>
        <v>1000</v>
      </c>
      <c r="E188" s="303">
        <f t="shared" si="35"/>
        <v>120</v>
      </c>
      <c r="F188" s="308">
        <f t="shared" si="35"/>
        <v>0</v>
      </c>
      <c r="G188" s="302">
        <f t="shared" si="35"/>
        <v>0</v>
      </c>
      <c r="H188" s="303">
        <f t="shared" si="35"/>
        <v>0</v>
      </c>
      <c r="I188" s="308">
        <f t="shared" si="35"/>
        <v>0</v>
      </c>
      <c r="J188" s="308">
        <f t="shared" si="35"/>
        <v>0</v>
      </c>
      <c r="K188" s="309">
        <f t="shared" si="31"/>
        <v>0</v>
      </c>
      <c r="L188" s="308">
        <f t="shared" si="32"/>
        <v>2360</v>
      </c>
      <c r="M188" s="326">
        <f>Données!AE188</f>
        <v>0</v>
      </c>
      <c r="N188" s="308">
        <v>0</v>
      </c>
      <c r="O188" s="303">
        <f t="shared" si="25"/>
        <v>1120</v>
      </c>
      <c r="P188" s="308">
        <f t="shared" si="33"/>
        <v>2360</v>
      </c>
      <c r="Q188" s="309">
        <f t="shared" si="26"/>
        <v>33687.656997128062</v>
      </c>
      <c r="R188" s="308">
        <f t="shared" si="27"/>
        <v>73807.860564926101</v>
      </c>
      <c r="S188" s="302">
        <f t="shared" si="28"/>
        <v>57818.075579247379</v>
      </c>
      <c r="T188" s="303">
        <f t="shared" si="29"/>
        <v>0</v>
      </c>
      <c r="U188" s="327">
        <f t="shared" si="34"/>
        <v>165313.59314130154</v>
      </c>
    </row>
    <row r="189" spans="1:21" x14ac:dyDescent="0.25">
      <c r="A189" s="111">
        <f>Données!A189</f>
        <v>5716</v>
      </c>
      <c r="B189" s="112" t="str">
        <f>Données!B189</f>
        <v>Eysins</v>
      </c>
      <c r="C189" s="307">
        <f>Données!C189</f>
        <v>1811</v>
      </c>
      <c r="D189" s="303">
        <f t="shared" si="30"/>
        <v>1000</v>
      </c>
      <c r="E189" s="303">
        <f t="shared" si="35"/>
        <v>811</v>
      </c>
      <c r="F189" s="308">
        <f t="shared" si="35"/>
        <v>0</v>
      </c>
      <c r="G189" s="302">
        <f t="shared" si="35"/>
        <v>0</v>
      </c>
      <c r="H189" s="303">
        <f t="shared" si="35"/>
        <v>0</v>
      </c>
      <c r="I189" s="308">
        <f t="shared" si="35"/>
        <v>0</v>
      </c>
      <c r="J189" s="308">
        <f t="shared" si="35"/>
        <v>0</v>
      </c>
      <c r="K189" s="309">
        <f t="shared" si="31"/>
        <v>0</v>
      </c>
      <c r="L189" s="308">
        <f t="shared" si="32"/>
        <v>4433</v>
      </c>
      <c r="M189" s="326">
        <f>Données!AE189</f>
        <v>0</v>
      </c>
      <c r="N189" s="308">
        <v>0</v>
      </c>
      <c r="O189" s="303">
        <f t="shared" si="25"/>
        <v>1811</v>
      </c>
      <c r="P189" s="308">
        <f t="shared" si="33"/>
        <v>4433</v>
      </c>
      <c r="Q189" s="309">
        <f t="shared" si="26"/>
        <v>54471.738233749042</v>
      </c>
      <c r="R189" s="308">
        <f t="shared" si="27"/>
        <v>119344.67453846533</v>
      </c>
      <c r="S189" s="302">
        <f t="shared" si="28"/>
        <v>108604.88518762865</v>
      </c>
      <c r="T189" s="303">
        <f t="shared" si="29"/>
        <v>0</v>
      </c>
      <c r="U189" s="327">
        <f t="shared" si="34"/>
        <v>282421.29795984307</v>
      </c>
    </row>
    <row r="190" spans="1:21" x14ac:dyDescent="0.25">
      <c r="A190" s="111">
        <f>Données!A190</f>
        <v>5717</v>
      </c>
      <c r="B190" s="112" t="str">
        <f>Données!B190</f>
        <v>Founex</v>
      </c>
      <c r="C190" s="307">
        <f>Données!C190</f>
        <v>3737</v>
      </c>
      <c r="D190" s="303">
        <f t="shared" si="30"/>
        <v>1000</v>
      </c>
      <c r="E190" s="303">
        <f t="shared" si="35"/>
        <v>2000</v>
      </c>
      <c r="F190" s="308">
        <f t="shared" si="35"/>
        <v>737</v>
      </c>
      <c r="G190" s="302">
        <f t="shared" si="35"/>
        <v>0</v>
      </c>
      <c r="H190" s="303">
        <f t="shared" si="35"/>
        <v>0</v>
      </c>
      <c r="I190" s="308">
        <f t="shared" si="35"/>
        <v>0</v>
      </c>
      <c r="J190" s="308">
        <f t="shared" si="35"/>
        <v>0</v>
      </c>
      <c r="K190" s="309">
        <f t="shared" si="31"/>
        <v>0</v>
      </c>
      <c r="L190" s="308">
        <f t="shared" si="32"/>
        <v>10579.5</v>
      </c>
      <c r="M190" s="326">
        <f>Données!AE190</f>
        <v>0</v>
      </c>
      <c r="N190" s="308">
        <v>0</v>
      </c>
      <c r="O190" s="303">
        <f t="shared" si="25"/>
        <v>3737</v>
      </c>
      <c r="P190" s="308">
        <f t="shared" si="33"/>
        <v>10579.5</v>
      </c>
      <c r="Q190" s="309">
        <f t="shared" si="26"/>
        <v>112402.4769627389</v>
      </c>
      <c r="R190" s="308">
        <f t="shared" si="27"/>
        <v>246267.83475993649</v>
      </c>
      <c r="S190" s="302">
        <f t="shared" si="28"/>
        <v>259189.12313163036</v>
      </c>
      <c r="T190" s="303">
        <f t="shared" si="29"/>
        <v>0</v>
      </c>
      <c r="U190" s="327">
        <f t="shared" si="34"/>
        <v>617859.43485430581</v>
      </c>
    </row>
    <row r="191" spans="1:21" x14ac:dyDescent="0.25">
      <c r="A191" s="111">
        <f>Données!A191</f>
        <v>5718</v>
      </c>
      <c r="B191" s="112" t="str">
        <f>Données!B191</f>
        <v>Genolier</v>
      </c>
      <c r="C191" s="307">
        <f>Données!C191</f>
        <v>2071</v>
      </c>
      <c r="D191" s="303">
        <f t="shared" si="30"/>
        <v>1000</v>
      </c>
      <c r="E191" s="303">
        <f t="shared" si="35"/>
        <v>1071</v>
      </c>
      <c r="F191" s="308">
        <f t="shared" si="35"/>
        <v>0</v>
      </c>
      <c r="G191" s="302">
        <f t="shared" si="35"/>
        <v>0</v>
      </c>
      <c r="H191" s="303">
        <f t="shared" si="35"/>
        <v>0</v>
      </c>
      <c r="I191" s="308">
        <f t="shared" si="35"/>
        <v>0</v>
      </c>
      <c r="J191" s="308">
        <f t="shared" si="35"/>
        <v>0</v>
      </c>
      <c r="K191" s="309">
        <f t="shared" si="31"/>
        <v>0</v>
      </c>
      <c r="L191" s="308">
        <f t="shared" si="32"/>
        <v>5213</v>
      </c>
      <c r="M191" s="326">
        <f>Données!AE191</f>
        <v>0</v>
      </c>
      <c r="N191" s="308">
        <v>0</v>
      </c>
      <c r="O191" s="303">
        <f t="shared" si="25"/>
        <v>2071</v>
      </c>
      <c r="P191" s="308">
        <f t="shared" si="33"/>
        <v>5213</v>
      </c>
      <c r="Q191" s="309">
        <f t="shared" si="26"/>
        <v>62292.087179510912</v>
      </c>
      <c r="R191" s="308">
        <f t="shared" si="27"/>
        <v>136478.64216960891</v>
      </c>
      <c r="S191" s="302">
        <f t="shared" si="28"/>
        <v>127714.24915026125</v>
      </c>
      <c r="T191" s="303">
        <f t="shared" si="29"/>
        <v>0</v>
      </c>
      <c r="U191" s="327">
        <f t="shared" si="34"/>
        <v>326484.9784993811</v>
      </c>
    </row>
    <row r="192" spans="1:21" x14ac:dyDescent="0.25">
      <c r="A192" s="111">
        <f>Données!A192</f>
        <v>5719</v>
      </c>
      <c r="B192" s="112" t="str">
        <f>Données!B192</f>
        <v>Gingins</v>
      </c>
      <c r="C192" s="307">
        <f>Données!C192</f>
        <v>1241</v>
      </c>
      <c r="D192" s="303">
        <f t="shared" si="30"/>
        <v>1000</v>
      </c>
      <c r="E192" s="303">
        <f t="shared" si="35"/>
        <v>241</v>
      </c>
      <c r="F192" s="308">
        <f t="shared" si="35"/>
        <v>0</v>
      </c>
      <c r="G192" s="302">
        <f t="shared" si="35"/>
        <v>0</v>
      </c>
      <c r="H192" s="303">
        <f t="shared" si="35"/>
        <v>0</v>
      </c>
      <c r="I192" s="308">
        <f t="shared" si="35"/>
        <v>0</v>
      </c>
      <c r="J192" s="308">
        <f t="shared" si="35"/>
        <v>0</v>
      </c>
      <c r="K192" s="309">
        <f t="shared" si="31"/>
        <v>0</v>
      </c>
      <c r="L192" s="308">
        <f t="shared" si="32"/>
        <v>2723</v>
      </c>
      <c r="M192" s="326">
        <f>Données!AE192</f>
        <v>0</v>
      </c>
      <c r="N192" s="308">
        <v>0</v>
      </c>
      <c r="O192" s="303">
        <f t="shared" si="25"/>
        <v>1241</v>
      </c>
      <c r="P192" s="308">
        <f t="shared" si="33"/>
        <v>2723</v>
      </c>
      <c r="Q192" s="309">
        <f t="shared" si="26"/>
        <v>37327.127083424937</v>
      </c>
      <c r="R192" s="308">
        <f t="shared" si="27"/>
        <v>81781.745500958306</v>
      </c>
      <c r="S192" s="302">
        <f t="shared" si="28"/>
        <v>66711.279577241789</v>
      </c>
      <c r="T192" s="303">
        <f t="shared" si="29"/>
        <v>0</v>
      </c>
      <c r="U192" s="327">
        <f t="shared" si="34"/>
        <v>185820.15216162504</v>
      </c>
    </row>
    <row r="193" spans="1:21" x14ac:dyDescent="0.25">
      <c r="A193" s="111">
        <f>Données!A193</f>
        <v>5720</v>
      </c>
      <c r="B193" s="112" t="str">
        <f>Données!B193</f>
        <v>Givrins</v>
      </c>
      <c r="C193" s="307">
        <f>Données!C193</f>
        <v>1096</v>
      </c>
      <c r="D193" s="303">
        <f t="shared" si="30"/>
        <v>1000</v>
      </c>
      <c r="E193" s="303">
        <f t="shared" si="35"/>
        <v>96</v>
      </c>
      <c r="F193" s="308">
        <f t="shared" si="35"/>
        <v>0</v>
      </c>
      <c r="G193" s="302">
        <f t="shared" si="35"/>
        <v>0</v>
      </c>
      <c r="H193" s="303">
        <f t="shared" si="35"/>
        <v>0</v>
      </c>
      <c r="I193" s="308">
        <f t="shared" si="35"/>
        <v>0</v>
      </c>
      <c r="J193" s="308">
        <f t="shared" si="35"/>
        <v>0</v>
      </c>
      <c r="K193" s="309">
        <f t="shared" si="31"/>
        <v>0</v>
      </c>
      <c r="L193" s="308">
        <f t="shared" si="32"/>
        <v>2288</v>
      </c>
      <c r="M193" s="326">
        <f>Données!AE193</f>
        <v>0</v>
      </c>
      <c r="N193" s="308">
        <v>0</v>
      </c>
      <c r="O193" s="303">
        <f t="shared" si="25"/>
        <v>1096</v>
      </c>
      <c r="P193" s="308">
        <f t="shared" si="33"/>
        <v>2288</v>
      </c>
      <c r="Q193" s="309">
        <f t="shared" si="26"/>
        <v>32965.778632903894</v>
      </c>
      <c r="R193" s="308">
        <f t="shared" si="27"/>
        <v>72226.263552820543</v>
      </c>
      <c r="S193" s="302">
        <f t="shared" si="28"/>
        <v>56054.134290388982</v>
      </c>
      <c r="T193" s="303">
        <f t="shared" si="29"/>
        <v>0</v>
      </c>
      <c r="U193" s="327">
        <f t="shared" si="34"/>
        <v>161246.17647611341</v>
      </c>
    </row>
    <row r="194" spans="1:21" x14ac:dyDescent="0.25">
      <c r="A194" s="111">
        <f>Données!A194</f>
        <v>5721</v>
      </c>
      <c r="B194" s="112" t="str">
        <f>Données!B194</f>
        <v>Gland</v>
      </c>
      <c r="C194" s="307">
        <f>Données!C194</f>
        <v>13978</v>
      </c>
      <c r="D194" s="303">
        <f t="shared" si="30"/>
        <v>1000</v>
      </c>
      <c r="E194" s="303">
        <f t="shared" ref="E194:J236" si="36">IF($C194&lt;E$4,0,IF($C194&gt;E$5,E$5-E$4,$C194-E$4))</f>
        <v>2000</v>
      </c>
      <c r="F194" s="308">
        <f t="shared" si="36"/>
        <v>2000</v>
      </c>
      <c r="G194" s="302">
        <f t="shared" si="36"/>
        <v>7000</v>
      </c>
      <c r="H194" s="303">
        <f t="shared" si="36"/>
        <v>1978</v>
      </c>
      <c r="I194" s="308">
        <f t="shared" si="36"/>
        <v>0</v>
      </c>
      <c r="J194" s="308">
        <f t="shared" si="36"/>
        <v>0</v>
      </c>
      <c r="K194" s="309">
        <f t="shared" si="31"/>
        <v>0</v>
      </c>
      <c r="L194" s="308">
        <f t="shared" si="32"/>
        <v>52890</v>
      </c>
      <c r="M194" s="326">
        <f>Données!AE194</f>
        <v>0</v>
      </c>
      <c r="N194" s="308">
        <v>0</v>
      </c>
      <c r="O194" s="303">
        <f t="shared" si="25"/>
        <v>13978</v>
      </c>
      <c r="P194" s="308">
        <f t="shared" si="33"/>
        <v>52890</v>
      </c>
      <c r="Q194" s="309">
        <f t="shared" si="26"/>
        <v>420433.99063022865</v>
      </c>
      <c r="R194" s="308">
        <f t="shared" si="27"/>
        <v>921148.45980047958</v>
      </c>
      <c r="S194" s="302">
        <f t="shared" si="28"/>
        <v>1295761.8717738956</v>
      </c>
      <c r="T194" s="303">
        <f t="shared" si="29"/>
        <v>0</v>
      </c>
      <c r="U194" s="327">
        <f t="shared" si="34"/>
        <v>2637344.3222046038</v>
      </c>
    </row>
    <row r="195" spans="1:21" x14ac:dyDescent="0.25">
      <c r="A195" s="111">
        <f>Données!A195</f>
        <v>5722</v>
      </c>
      <c r="B195" s="112" t="str">
        <f>Données!B195</f>
        <v>Grens</v>
      </c>
      <c r="C195" s="307">
        <f>Données!C195</f>
        <v>413</v>
      </c>
      <c r="D195" s="303">
        <f t="shared" si="30"/>
        <v>413</v>
      </c>
      <c r="E195" s="303">
        <f t="shared" si="36"/>
        <v>0</v>
      </c>
      <c r="F195" s="308">
        <f t="shared" si="36"/>
        <v>0</v>
      </c>
      <c r="G195" s="302">
        <f t="shared" si="36"/>
        <v>0</v>
      </c>
      <c r="H195" s="303">
        <f t="shared" si="36"/>
        <v>0</v>
      </c>
      <c r="I195" s="308">
        <f t="shared" si="36"/>
        <v>0</v>
      </c>
      <c r="J195" s="308">
        <f t="shared" si="36"/>
        <v>0</v>
      </c>
      <c r="K195" s="309">
        <f t="shared" si="31"/>
        <v>0</v>
      </c>
      <c r="L195" s="308">
        <f t="shared" si="32"/>
        <v>826</v>
      </c>
      <c r="M195" s="326">
        <f>Données!AE195</f>
        <v>0</v>
      </c>
      <c r="N195" s="308">
        <v>0</v>
      </c>
      <c r="O195" s="303">
        <f t="shared" si="25"/>
        <v>413</v>
      </c>
      <c r="P195" s="308">
        <f t="shared" si="33"/>
        <v>826</v>
      </c>
      <c r="Q195" s="309">
        <f t="shared" si="26"/>
        <v>12422.323517690973</v>
      </c>
      <c r="R195" s="308">
        <f t="shared" si="27"/>
        <v>27216.648583316502</v>
      </c>
      <c r="S195" s="302">
        <f t="shared" si="28"/>
        <v>20236.326452736583</v>
      </c>
      <c r="T195" s="303">
        <f t="shared" si="29"/>
        <v>0</v>
      </c>
      <c r="U195" s="327">
        <f t="shared" si="34"/>
        <v>59875.298553744055</v>
      </c>
    </row>
    <row r="196" spans="1:21" x14ac:dyDescent="0.25">
      <c r="A196" s="111">
        <f>Données!A196</f>
        <v>5723</v>
      </c>
      <c r="B196" s="112" t="str">
        <f>Données!B196</f>
        <v>Mies</v>
      </c>
      <c r="C196" s="307">
        <f>Données!C196</f>
        <v>2194</v>
      </c>
      <c r="D196" s="303">
        <f t="shared" si="30"/>
        <v>1000</v>
      </c>
      <c r="E196" s="303">
        <f t="shared" si="36"/>
        <v>1194</v>
      </c>
      <c r="F196" s="308">
        <f t="shared" si="36"/>
        <v>0</v>
      </c>
      <c r="G196" s="302">
        <f t="shared" si="36"/>
        <v>0</v>
      </c>
      <c r="H196" s="303">
        <f t="shared" si="36"/>
        <v>0</v>
      </c>
      <c r="I196" s="308">
        <f t="shared" si="36"/>
        <v>0</v>
      </c>
      <c r="J196" s="308">
        <f t="shared" si="36"/>
        <v>0</v>
      </c>
      <c r="K196" s="309">
        <f t="shared" si="31"/>
        <v>0</v>
      </c>
      <c r="L196" s="308">
        <f t="shared" si="32"/>
        <v>5582</v>
      </c>
      <c r="M196" s="326">
        <f>Données!AE196</f>
        <v>0</v>
      </c>
      <c r="N196" s="308">
        <v>0</v>
      </c>
      <c r="O196" s="303">
        <f t="shared" si="25"/>
        <v>2194</v>
      </c>
      <c r="P196" s="308">
        <f t="shared" si="33"/>
        <v>5582</v>
      </c>
      <c r="Q196" s="309">
        <f t="shared" si="26"/>
        <v>65991.713796159791</v>
      </c>
      <c r="R196" s="308">
        <f t="shared" si="27"/>
        <v>144584.32685664989</v>
      </c>
      <c r="S196" s="302">
        <f t="shared" si="28"/>
        <v>136754.44825566054</v>
      </c>
      <c r="T196" s="303">
        <f t="shared" si="29"/>
        <v>0</v>
      </c>
      <c r="U196" s="327">
        <f t="shared" si="34"/>
        <v>347330.4889084702</v>
      </c>
    </row>
    <row r="197" spans="1:21" x14ac:dyDescent="0.25">
      <c r="A197" s="111">
        <f>Données!A197</f>
        <v>5724</v>
      </c>
      <c r="B197" s="112" t="str">
        <f>Données!B197</f>
        <v>Nyon</v>
      </c>
      <c r="C197" s="307">
        <f>Données!C197</f>
        <v>23732</v>
      </c>
      <c r="D197" s="303">
        <f t="shared" si="30"/>
        <v>1000</v>
      </c>
      <c r="E197" s="303">
        <f t="shared" si="36"/>
        <v>2000</v>
      </c>
      <c r="F197" s="308">
        <f t="shared" si="36"/>
        <v>2000</v>
      </c>
      <c r="G197" s="302">
        <f t="shared" si="36"/>
        <v>7000</v>
      </c>
      <c r="H197" s="303">
        <f t="shared" si="36"/>
        <v>3000</v>
      </c>
      <c r="I197" s="308">
        <f t="shared" si="36"/>
        <v>8732</v>
      </c>
      <c r="J197" s="308">
        <f t="shared" si="36"/>
        <v>0</v>
      </c>
      <c r="K197" s="309">
        <f t="shared" si="31"/>
        <v>0</v>
      </c>
      <c r="L197" s="308">
        <f t="shared" si="32"/>
        <v>110392</v>
      </c>
      <c r="M197" s="326">
        <f>Données!AE197</f>
        <v>1</v>
      </c>
      <c r="N197" s="308">
        <v>1</v>
      </c>
      <c r="O197" s="303">
        <f t="shared" si="25"/>
        <v>0</v>
      </c>
      <c r="P197" s="308">
        <f t="shared" si="33"/>
        <v>0</v>
      </c>
      <c r="Q197" s="309">
        <f t="shared" si="26"/>
        <v>713817.38915700291</v>
      </c>
      <c r="R197" s="308">
        <f t="shared" si="27"/>
        <v>0</v>
      </c>
      <c r="S197" s="302">
        <f t="shared" si="28"/>
        <v>0</v>
      </c>
      <c r="T197" s="303">
        <f t="shared" si="29"/>
        <v>0</v>
      </c>
      <c r="U197" s="327">
        <f t="shared" si="34"/>
        <v>713817.38915700291</v>
      </c>
    </row>
    <row r="198" spans="1:21" x14ac:dyDescent="0.25">
      <c r="A198" s="111">
        <f>Données!A198</f>
        <v>5725</v>
      </c>
      <c r="B198" s="112" t="str">
        <f>Données!B198</f>
        <v>Prangins</v>
      </c>
      <c r="C198" s="307">
        <f>Données!C198</f>
        <v>4243</v>
      </c>
      <c r="D198" s="303">
        <f t="shared" si="30"/>
        <v>1000</v>
      </c>
      <c r="E198" s="303">
        <f t="shared" si="36"/>
        <v>2000</v>
      </c>
      <c r="F198" s="308">
        <f t="shared" si="36"/>
        <v>1243</v>
      </c>
      <c r="G198" s="302">
        <f t="shared" si="36"/>
        <v>0</v>
      </c>
      <c r="H198" s="303">
        <f t="shared" si="36"/>
        <v>0</v>
      </c>
      <c r="I198" s="308">
        <f t="shared" si="36"/>
        <v>0</v>
      </c>
      <c r="J198" s="308">
        <f t="shared" si="36"/>
        <v>0</v>
      </c>
      <c r="K198" s="309">
        <f t="shared" si="31"/>
        <v>0</v>
      </c>
      <c r="L198" s="308">
        <f t="shared" si="32"/>
        <v>12350.5</v>
      </c>
      <c r="M198" s="326">
        <f>Données!AE198</f>
        <v>1</v>
      </c>
      <c r="N198" s="308">
        <v>1</v>
      </c>
      <c r="O198" s="303">
        <f t="shared" si="25"/>
        <v>0</v>
      </c>
      <c r="P198" s="308">
        <f t="shared" si="33"/>
        <v>0</v>
      </c>
      <c r="Q198" s="309">
        <f t="shared" si="26"/>
        <v>127622.07914179855</v>
      </c>
      <c r="R198" s="308">
        <f t="shared" si="27"/>
        <v>0</v>
      </c>
      <c r="S198" s="302">
        <f t="shared" si="28"/>
        <v>0</v>
      </c>
      <c r="T198" s="303">
        <f t="shared" si="29"/>
        <v>0</v>
      </c>
      <c r="U198" s="327">
        <f t="shared" si="34"/>
        <v>127622.07914179855</v>
      </c>
    </row>
    <row r="199" spans="1:21" x14ac:dyDescent="0.25">
      <c r="A199" s="111">
        <f>Données!A199</f>
        <v>5726</v>
      </c>
      <c r="B199" s="112" t="str">
        <f>Données!B199</f>
        <v>La Rippe</v>
      </c>
      <c r="C199" s="307">
        <f>Données!C199</f>
        <v>1218</v>
      </c>
      <c r="D199" s="303">
        <f t="shared" si="30"/>
        <v>1000</v>
      </c>
      <c r="E199" s="303">
        <f t="shared" si="36"/>
        <v>218</v>
      </c>
      <c r="F199" s="308">
        <f t="shared" si="36"/>
        <v>0</v>
      </c>
      <c r="G199" s="302">
        <f t="shared" si="36"/>
        <v>0</v>
      </c>
      <c r="H199" s="303">
        <f t="shared" si="36"/>
        <v>0</v>
      </c>
      <c r="I199" s="308">
        <f t="shared" si="36"/>
        <v>0</v>
      </c>
      <c r="J199" s="308">
        <f t="shared" si="36"/>
        <v>0</v>
      </c>
      <c r="K199" s="309">
        <f t="shared" si="31"/>
        <v>0</v>
      </c>
      <c r="L199" s="308">
        <f t="shared" si="32"/>
        <v>2654</v>
      </c>
      <c r="M199" s="326">
        <f>Données!AE199</f>
        <v>0</v>
      </c>
      <c r="N199" s="308">
        <v>0</v>
      </c>
      <c r="O199" s="303">
        <f t="shared" si="25"/>
        <v>1218</v>
      </c>
      <c r="P199" s="308">
        <f t="shared" si="33"/>
        <v>2654</v>
      </c>
      <c r="Q199" s="309">
        <f t="shared" si="26"/>
        <v>36635.32698437677</v>
      </c>
      <c r="R199" s="308">
        <f t="shared" si="27"/>
        <v>80266.048364357135</v>
      </c>
      <c r="S199" s="302">
        <f t="shared" si="28"/>
        <v>65020.83584208582</v>
      </c>
      <c r="T199" s="303">
        <f t="shared" si="29"/>
        <v>0</v>
      </c>
      <c r="U199" s="327">
        <f t="shared" si="34"/>
        <v>181922.21119081974</v>
      </c>
    </row>
    <row r="200" spans="1:21" x14ac:dyDescent="0.25">
      <c r="A200" s="111">
        <f>Données!A200</f>
        <v>5727</v>
      </c>
      <c r="B200" s="112" t="str">
        <f>Données!B200</f>
        <v>Saint-Cergue</v>
      </c>
      <c r="C200" s="307">
        <f>Données!C200</f>
        <v>3057</v>
      </c>
      <c r="D200" s="303">
        <f t="shared" si="30"/>
        <v>1000</v>
      </c>
      <c r="E200" s="303">
        <f t="shared" si="36"/>
        <v>2000</v>
      </c>
      <c r="F200" s="308">
        <f t="shared" si="36"/>
        <v>57</v>
      </c>
      <c r="G200" s="302">
        <f t="shared" si="36"/>
        <v>0</v>
      </c>
      <c r="H200" s="303">
        <f t="shared" si="36"/>
        <v>0</v>
      </c>
      <c r="I200" s="308">
        <f t="shared" si="36"/>
        <v>0</v>
      </c>
      <c r="J200" s="308">
        <f t="shared" si="36"/>
        <v>0</v>
      </c>
      <c r="K200" s="309">
        <f t="shared" si="31"/>
        <v>0</v>
      </c>
      <c r="L200" s="308">
        <f t="shared" si="32"/>
        <v>8199.5</v>
      </c>
      <c r="M200" s="326">
        <f>Données!AE200</f>
        <v>0</v>
      </c>
      <c r="N200" s="308">
        <v>0</v>
      </c>
      <c r="O200" s="303">
        <f t="shared" ref="O200:O263" si="37">IF(N200=0,C200,0)</f>
        <v>3057</v>
      </c>
      <c r="P200" s="308">
        <f t="shared" si="33"/>
        <v>8199.5</v>
      </c>
      <c r="Q200" s="309">
        <f t="shared" ref="Q200:Q263" si="38">$Q$6/$C$308*C200</f>
        <v>91949.256643054017</v>
      </c>
      <c r="R200" s="308">
        <f t="shared" ref="R200:R263" si="39">$R$6/$O$308*O200</f>
        <v>201455.91941694563</v>
      </c>
      <c r="S200" s="302">
        <f t="shared" ref="S200:S263" si="40">$S$6/$P$308*P200</f>
        <v>200881.06386103341</v>
      </c>
      <c r="T200" s="303">
        <f t="shared" ref="T200:T263" si="41">IF(M200&gt;N200,-R200-S200,IF(M200&lt;N200,C200*$R$311+L200*$S$311,IF(M200=N200,0,"Erreur")))</f>
        <v>0</v>
      </c>
      <c r="U200" s="327">
        <f t="shared" si="34"/>
        <v>494286.23992103303</v>
      </c>
    </row>
    <row r="201" spans="1:21" x14ac:dyDescent="0.25">
      <c r="A201" s="111">
        <f>Données!A201</f>
        <v>5728</v>
      </c>
      <c r="B201" s="112" t="str">
        <f>Données!B201</f>
        <v>Signy-Avenex</v>
      </c>
      <c r="C201" s="307">
        <f>Données!C201</f>
        <v>586</v>
      </c>
      <c r="D201" s="303">
        <f t="shared" ref="D201:D264" si="42">IF(C201&gt;$D$5,$D$5-$D$4,C201)</f>
        <v>586</v>
      </c>
      <c r="E201" s="303">
        <f t="shared" si="36"/>
        <v>0</v>
      </c>
      <c r="F201" s="308">
        <f t="shared" si="36"/>
        <v>0</v>
      </c>
      <c r="G201" s="302">
        <f t="shared" si="36"/>
        <v>0</v>
      </c>
      <c r="H201" s="303">
        <f t="shared" si="36"/>
        <v>0</v>
      </c>
      <c r="I201" s="308">
        <f t="shared" si="36"/>
        <v>0</v>
      </c>
      <c r="J201" s="308">
        <f t="shared" si="36"/>
        <v>0</v>
      </c>
      <c r="K201" s="309">
        <f t="shared" ref="K201:K264" si="43">IF($C201&lt;K$4,0,$C201-K$4)</f>
        <v>0</v>
      </c>
      <c r="L201" s="308">
        <f t="shared" ref="L201:L264" si="44">SUMPRODUCT($D$6:$K$6,D201:K201)</f>
        <v>1172</v>
      </c>
      <c r="M201" s="326">
        <f>Données!AE201</f>
        <v>0</v>
      </c>
      <c r="N201" s="308">
        <v>0</v>
      </c>
      <c r="O201" s="303">
        <f t="shared" si="37"/>
        <v>586</v>
      </c>
      <c r="P201" s="308">
        <f t="shared" ref="P201:P264" si="45">IF(N201=0,L201,0)</f>
        <v>1172</v>
      </c>
      <c r="Q201" s="309">
        <f t="shared" si="38"/>
        <v>17625.863393140218</v>
      </c>
      <c r="R201" s="308">
        <f t="shared" si="39"/>
        <v>38617.327045577411</v>
      </c>
      <c r="S201" s="302">
        <f t="shared" si="40"/>
        <v>28713.044313083865</v>
      </c>
      <c r="T201" s="303">
        <f t="shared" si="41"/>
        <v>0</v>
      </c>
      <c r="U201" s="327">
        <f t="shared" ref="U201:U264" si="46">SUM(Q201:T201)</f>
        <v>84956.234751801501</v>
      </c>
    </row>
    <row r="202" spans="1:21" x14ac:dyDescent="0.25">
      <c r="A202" s="111">
        <f>Données!A202</f>
        <v>5729</v>
      </c>
      <c r="B202" s="112" t="str">
        <f>Données!B202</f>
        <v>Tannay</v>
      </c>
      <c r="C202" s="307">
        <f>Données!C202</f>
        <v>1732</v>
      </c>
      <c r="D202" s="303">
        <f t="shared" si="42"/>
        <v>1000</v>
      </c>
      <c r="E202" s="303">
        <f t="shared" si="36"/>
        <v>732</v>
      </c>
      <c r="F202" s="308">
        <f t="shared" si="36"/>
        <v>0</v>
      </c>
      <c r="G202" s="302">
        <f t="shared" si="36"/>
        <v>0</v>
      </c>
      <c r="H202" s="303">
        <f t="shared" si="36"/>
        <v>0</v>
      </c>
      <c r="I202" s="308">
        <f t="shared" si="36"/>
        <v>0</v>
      </c>
      <c r="J202" s="308">
        <f t="shared" si="36"/>
        <v>0</v>
      </c>
      <c r="K202" s="309">
        <f t="shared" si="43"/>
        <v>0</v>
      </c>
      <c r="L202" s="308">
        <f t="shared" si="44"/>
        <v>4196</v>
      </c>
      <c r="M202" s="326">
        <f>Données!AE202</f>
        <v>0</v>
      </c>
      <c r="N202" s="308">
        <v>0</v>
      </c>
      <c r="O202" s="303">
        <f t="shared" si="37"/>
        <v>1732</v>
      </c>
      <c r="P202" s="308">
        <f t="shared" si="45"/>
        <v>4196</v>
      </c>
      <c r="Q202" s="309">
        <f t="shared" si="38"/>
        <v>52095.555284844471</v>
      </c>
      <c r="R202" s="308">
        <f t="shared" si="39"/>
        <v>114138.58437361786</v>
      </c>
      <c r="S202" s="302">
        <f t="shared" si="40"/>
        <v>102798.57844513643</v>
      </c>
      <c r="T202" s="303">
        <f t="shared" si="41"/>
        <v>0</v>
      </c>
      <c r="U202" s="327">
        <f t="shared" si="46"/>
        <v>269032.7181035988</v>
      </c>
    </row>
    <row r="203" spans="1:21" x14ac:dyDescent="0.25">
      <c r="A203" s="111">
        <f>Données!A203</f>
        <v>5730</v>
      </c>
      <c r="B203" s="112" t="str">
        <f>Données!B203</f>
        <v>Trélex</v>
      </c>
      <c r="C203" s="307">
        <f>Données!C203</f>
        <v>1427</v>
      </c>
      <c r="D203" s="303">
        <f t="shared" si="42"/>
        <v>1000</v>
      </c>
      <c r="E203" s="303">
        <f t="shared" si="36"/>
        <v>427</v>
      </c>
      <c r="F203" s="308">
        <f t="shared" si="36"/>
        <v>0</v>
      </c>
      <c r="G203" s="302">
        <f t="shared" si="36"/>
        <v>0</v>
      </c>
      <c r="H203" s="303">
        <f t="shared" si="36"/>
        <v>0</v>
      </c>
      <c r="I203" s="308">
        <f t="shared" si="36"/>
        <v>0</v>
      </c>
      <c r="J203" s="308">
        <f t="shared" si="36"/>
        <v>0</v>
      </c>
      <c r="K203" s="309">
        <f t="shared" si="43"/>
        <v>0</v>
      </c>
      <c r="L203" s="308">
        <f t="shared" si="44"/>
        <v>3281</v>
      </c>
      <c r="M203" s="326">
        <f>Données!AE203</f>
        <v>0</v>
      </c>
      <c r="N203" s="308">
        <v>0</v>
      </c>
      <c r="O203" s="303">
        <f t="shared" si="37"/>
        <v>1427</v>
      </c>
      <c r="P203" s="308">
        <f t="shared" si="45"/>
        <v>3281</v>
      </c>
      <c r="Q203" s="309">
        <f t="shared" si="38"/>
        <v>42921.684406162276</v>
      </c>
      <c r="R203" s="308">
        <f t="shared" si="39"/>
        <v>94039.122344776391</v>
      </c>
      <c r="S203" s="302">
        <f t="shared" si="40"/>
        <v>80381.824565894334</v>
      </c>
      <c r="T203" s="303">
        <f t="shared" si="41"/>
        <v>0</v>
      </c>
      <c r="U203" s="327">
        <f t="shared" si="46"/>
        <v>217342.63131683302</v>
      </c>
    </row>
    <row r="204" spans="1:21" x14ac:dyDescent="0.25">
      <c r="A204" s="111">
        <f>Données!A204</f>
        <v>5731</v>
      </c>
      <c r="B204" s="112" t="str">
        <f>Données!B204</f>
        <v>Le Vaud</v>
      </c>
      <c r="C204" s="307">
        <f>Données!C204</f>
        <v>1374</v>
      </c>
      <c r="D204" s="303">
        <f t="shared" si="42"/>
        <v>1000</v>
      </c>
      <c r="E204" s="303">
        <f t="shared" si="36"/>
        <v>374</v>
      </c>
      <c r="F204" s="308">
        <f t="shared" si="36"/>
        <v>0</v>
      </c>
      <c r="G204" s="302">
        <f t="shared" si="36"/>
        <v>0</v>
      </c>
      <c r="H204" s="303">
        <f t="shared" si="36"/>
        <v>0</v>
      </c>
      <c r="I204" s="308">
        <f t="shared" si="36"/>
        <v>0</v>
      </c>
      <c r="J204" s="308">
        <f t="shared" si="36"/>
        <v>0</v>
      </c>
      <c r="K204" s="309">
        <f t="shared" si="43"/>
        <v>0</v>
      </c>
      <c r="L204" s="308">
        <f t="shared" si="44"/>
        <v>3122</v>
      </c>
      <c r="M204" s="326">
        <f>Données!AE204</f>
        <v>0</v>
      </c>
      <c r="N204" s="308">
        <v>0</v>
      </c>
      <c r="O204" s="303">
        <f t="shared" si="37"/>
        <v>1374</v>
      </c>
      <c r="P204" s="308">
        <f t="shared" si="45"/>
        <v>3122</v>
      </c>
      <c r="Q204" s="309">
        <f t="shared" si="38"/>
        <v>41327.536351833893</v>
      </c>
      <c r="R204" s="308">
        <f t="shared" si="39"/>
        <v>90546.428943043284</v>
      </c>
      <c r="S204" s="302">
        <f t="shared" si="40"/>
        <v>76486.454219665378</v>
      </c>
      <c r="T204" s="303">
        <f t="shared" si="41"/>
        <v>0</v>
      </c>
      <c r="U204" s="327">
        <f t="shared" si="46"/>
        <v>208360.41951454256</v>
      </c>
    </row>
    <row r="205" spans="1:21" x14ac:dyDescent="0.25">
      <c r="A205" s="111">
        <f>Données!A205</f>
        <v>5732</v>
      </c>
      <c r="B205" s="112" t="str">
        <f>Données!B205</f>
        <v>Vich</v>
      </c>
      <c r="C205" s="307">
        <f>Données!C205</f>
        <v>1174</v>
      </c>
      <c r="D205" s="303">
        <f t="shared" si="42"/>
        <v>1000</v>
      </c>
      <c r="E205" s="303">
        <f t="shared" si="36"/>
        <v>174</v>
      </c>
      <c r="F205" s="308">
        <f t="shared" si="36"/>
        <v>0</v>
      </c>
      <c r="G205" s="302">
        <f t="shared" si="36"/>
        <v>0</v>
      </c>
      <c r="H205" s="303">
        <f t="shared" si="36"/>
        <v>0</v>
      </c>
      <c r="I205" s="308">
        <f t="shared" si="36"/>
        <v>0</v>
      </c>
      <c r="J205" s="308">
        <f t="shared" si="36"/>
        <v>0</v>
      </c>
      <c r="K205" s="309">
        <f t="shared" si="43"/>
        <v>0</v>
      </c>
      <c r="L205" s="308">
        <f t="shared" si="44"/>
        <v>2522</v>
      </c>
      <c r="M205" s="326">
        <f>Données!AE205</f>
        <v>0</v>
      </c>
      <c r="N205" s="308">
        <v>0</v>
      </c>
      <c r="O205" s="303">
        <f t="shared" si="37"/>
        <v>1174</v>
      </c>
      <c r="P205" s="308">
        <f t="shared" si="45"/>
        <v>2522</v>
      </c>
      <c r="Q205" s="309">
        <f t="shared" si="38"/>
        <v>35311.883316632455</v>
      </c>
      <c r="R205" s="308">
        <f t="shared" si="39"/>
        <v>77366.45384216361</v>
      </c>
      <c r="S205" s="302">
        <f t="shared" si="40"/>
        <v>61786.943479178764</v>
      </c>
      <c r="T205" s="303">
        <f t="shared" si="41"/>
        <v>0</v>
      </c>
      <c r="U205" s="327">
        <f t="shared" si="46"/>
        <v>174465.28063797482</v>
      </c>
    </row>
    <row r="206" spans="1:21" x14ac:dyDescent="0.25">
      <c r="A206" s="111">
        <f>Données!A206</f>
        <v>5741</v>
      </c>
      <c r="B206" s="112" t="str">
        <f>Données!B206</f>
        <v>L'Abergement</v>
      </c>
      <c r="C206" s="307">
        <f>Données!C206</f>
        <v>267</v>
      </c>
      <c r="D206" s="303">
        <f t="shared" si="42"/>
        <v>267</v>
      </c>
      <c r="E206" s="303">
        <f t="shared" si="36"/>
        <v>0</v>
      </c>
      <c r="F206" s="308">
        <f t="shared" si="36"/>
        <v>0</v>
      </c>
      <c r="G206" s="302">
        <f t="shared" si="36"/>
        <v>0</v>
      </c>
      <c r="H206" s="303">
        <f t="shared" si="36"/>
        <v>0</v>
      </c>
      <c r="I206" s="308">
        <f t="shared" si="36"/>
        <v>0</v>
      </c>
      <c r="J206" s="308">
        <f t="shared" si="36"/>
        <v>0</v>
      </c>
      <c r="K206" s="309">
        <f t="shared" si="43"/>
        <v>0</v>
      </c>
      <c r="L206" s="308">
        <f t="shared" si="44"/>
        <v>534</v>
      </c>
      <c r="M206" s="326">
        <f>Données!AE206</f>
        <v>0</v>
      </c>
      <c r="N206" s="308">
        <v>0</v>
      </c>
      <c r="O206" s="303">
        <f t="shared" si="37"/>
        <v>267</v>
      </c>
      <c r="P206" s="308">
        <f t="shared" si="45"/>
        <v>534</v>
      </c>
      <c r="Q206" s="309">
        <f t="shared" si="38"/>
        <v>8030.8968019939221</v>
      </c>
      <c r="R206" s="308">
        <f t="shared" si="39"/>
        <v>17595.266759674349</v>
      </c>
      <c r="S206" s="302">
        <f t="shared" si="40"/>
        <v>13082.564559033093</v>
      </c>
      <c r="T206" s="303">
        <f t="shared" si="41"/>
        <v>0</v>
      </c>
      <c r="U206" s="327">
        <f t="shared" si="46"/>
        <v>38708.728120701358</v>
      </c>
    </row>
    <row r="207" spans="1:21" x14ac:dyDescent="0.25">
      <c r="A207" s="111">
        <f>Données!A207</f>
        <v>5742</v>
      </c>
      <c r="B207" s="112" t="str">
        <f>Données!B207</f>
        <v>Agiez</v>
      </c>
      <c r="C207" s="307">
        <f>Données!C207</f>
        <v>382</v>
      </c>
      <c r="D207" s="303">
        <f t="shared" si="42"/>
        <v>382</v>
      </c>
      <c r="E207" s="303">
        <f t="shared" si="36"/>
        <v>0</v>
      </c>
      <c r="F207" s="308">
        <f t="shared" si="36"/>
        <v>0</v>
      </c>
      <c r="G207" s="302">
        <f t="shared" si="36"/>
        <v>0</v>
      </c>
      <c r="H207" s="303">
        <f t="shared" si="36"/>
        <v>0</v>
      </c>
      <c r="I207" s="308">
        <f t="shared" si="36"/>
        <v>0</v>
      </c>
      <c r="J207" s="308">
        <f t="shared" si="36"/>
        <v>0</v>
      </c>
      <c r="K207" s="309">
        <f t="shared" si="43"/>
        <v>0</v>
      </c>
      <c r="L207" s="308">
        <f t="shared" si="44"/>
        <v>764</v>
      </c>
      <c r="M207" s="326">
        <f>Données!AE207</f>
        <v>0</v>
      </c>
      <c r="N207" s="308">
        <v>0</v>
      </c>
      <c r="O207" s="303">
        <f t="shared" si="37"/>
        <v>382</v>
      </c>
      <c r="P207" s="308">
        <f t="shared" si="45"/>
        <v>764</v>
      </c>
      <c r="Q207" s="309">
        <f t="shared" si="38"/>
        <v>11489.897297234751</v>
      </c>
      <c r="R207" s="308">
        <f t="shared" si="39"/>
        <v>25173.752442680154</v>
      </c>
      <c r="S207" s="302">
        <f t="shared" si="40"/>
        <v>18717.377009552965</v>
      </c>
      <c r="T207" s="303">
        <f t="shared" si="41"/>
        <v>0</v>
      </c>
      <c r="U207" s="327">
        <f t="shared" si="46"/>
        <v>55381.02674946787</v>
      </c>
    </row>
    <row r="208" spans="1:21" x14ac:dyDescent="0.25">
      <c r="A208" s="111">
        <f>Données!A208</f>
        <v>5743</v>
      </c>
      <c r="B208" s="112" t="str">
        <f>Données!B208</f>
        <v>Arnex-sur-Orbe</v>
      </c>
      <c r="C208" s="307">
        <f>Données!C208</f>
        <v>698</v>
      </c>
      <c r="D208" s="303">
        <f t="shared" si="42"/>
        <v>698</v>
      </c>
      <c r="E208" s="303">
        <f t="shared" si="36"/>
        <v>0</v>
      </c>
      <c r="F208" s="308">
        <f t="shared" si="36"/>
        <v>0</v>
      </c>
      <c r="G208" s="302">
        <f t="shared" si="36"/>
        <v>0</v>
      </c>
      <c r="H208" s="303">
        <f t="shared" si="36"/>
        <v>0</v>
      </c>
      <c r="I208" s="308">
        <f t="shared" si="36"/>
        <v>0</v>
      </c>
      <c r="J208" s="308">
        <f t="shared" si="36"/>
        <v>0</v>
      </c>
      <c r="K208" s="309">
        <f t="shared" si="43"/>
        <v>0</v>
      </c>
      <c r="L208" s="308">
        <f t="shared" si="44"/>
        <v>1396</v>
      </c>
      <c r="M208" s="326">
        <f>Données!AE208</f>
        <v>0</v>
      </c>
      <c r="N208" s="308">
        <v>0</v>
      </c>
      <c r="O208" s="303">
        <f t="shared" si="37"/>
        <v>698</v>
      </c>
      <c r="P208" s="308">
        <f t="shared" si="45"/>
        <v>1396</v>
      </c>
      <c r="Q208" s="309">
        <f t="shared" si="38"/>
        <v>20994.629092853025</v>
      </c>
      <c r="R208" s="308">
        <f t="shared" si="39"/>
        <v>45998.11310207002</v>
      </c>
      <c r="S208" s="302">
        <f t="shared" si="40"/>
        <v>34200.861656198875</v>
      </c>
      <c r="T208" s="303">
        <f t="shared" si="41"/>
        <v>0</v>
      </c>
      <c r="U208" s="327">
        <f t="shared" si="46"/>
        <v>101193.60385112192</v>
      </c>
    </row>
    <row r="209" spans="1:21" x14ac:dyDescent="0.25">
      <c r="A209" s="111">
        <f>Données!A209</f>
        <v>5744</v>
      </c>
      <c r="B209" s="112" t="str">
        <f>Données!B209</f>
        <v>Ballaigues</v>
      </c>
      <c r="C209" s="307">
        <f>Données!C209</f>
        <v>1217</v>
      </c>
      <c r="D209" s="303">
        <f t="shared" si="42"/>
        <v>1000</v>
      </c>
      <c r="E209" s="303">
        <f t="shared" si="36"/>
        <v>217</v>
      </c>
      <c r="F209" s="308">
        <f t="shared" si="36"/>
        <v>0</v>
      </c>
      <c r="G209" s="302">
        <f t="shared" si="36"/>
        <v>0</v>
      </c>
      <c r="H209" s="303">
        <f t="shared" si="36"/>
        <v>0</v>
      </c>
      <c r="I209" s="308">
        <f t="shared" si="36"/>
        <v>0</v>
      </c>
      <c r="J209" s="308">
        <f t="shared" si="36"/>
        <v>0</v>
      </c>
      <c r="K209" s="309">
        <f t="shared" si="43"/>
        <v>0</v>
      </c>
      <c r="L209" s="308">
        <f t="shared" si="44"/>
        <v>2651</v>
      </c>
      <c r="M209" s="326">
        <f>Données!AE209</f>
        <v>0</v>
      </c>
      <c r="N209" s="308">
        <v>0</v>
      </c>
      <c r="O209" s="303">
        <f t="shared" si="37"/>
        <v>1217</v>
      </c>
      <c r="P209" s="308">
        <f t="shared" si="45"/>
        <v>2651</v>
      </c>
      <c r="Q209" s="309">
        <f t="shared" si="38"/>
        <v>36605.248719200761</v>
      </c>
      <c r="R209" s="308">
        <f t="shared" si="39"/>
        <v>80200.148488852748</v>
      </c>
      <c r="S209" s="302">
        <f t="shared" si="40"/>
        <v>64947.338288383391</v>
      </c>
      <c r="T209" s="303">
        <f t="shared" si="41"/>
        <v>0</v>
      </c>
      <c r="U209" s="327">
        <f t="shared" si="46"/>
        <v>181752.73549643689</v>
      </c>
    </row>
    <row r="210" spans="1:21" x14ac:dyDescent="0.25">
      <c r="A210" s="111">
        <f>Données!A210</f>
        <v>5745</v>
      </c>
      <c r="B210" s="112" t="str">
        <f>Données!B210</f>
        <v>Baulmes</v>
      </c>
      <c r="C210" s="307">
        <f>Données!C210</f>
        <v>1189</v>
      </c>
      <c r="D210" s="303">
        <f t="shared" si="42"/>
        <v>1000</v>
      </c>
      <c r="E210" s="303">
        <f t="shared" si="36"/>
        <v>189</v>
      </c>
      <c r="F210" s="308">
        <f t="shared" si="36"/>
        <v>0</v>
      </c>
      <c r="G210" s="302">
        <f t="shared" si="36"/>
        <v>0</v>
      </c>
      <c r="H210" s="303">
        <f t="shared" si="36"/>
        <v>0</v>
      </c>
      <c r="I210" s="308">
        <f t="shared" si="36"/>
        <v>0</v>
      </c>
      <c r="J210" s="308">
        <f t="shared" si="36"/>
        <v>0</v>
      </c>
      <c r="K210" s="309">
        <f t="shared" si="43"/>
        <v>0</v>
      </c>
      <c r="L210" s="308">
        <f t="shared" si="44"/>
        <v>2567</v>
      </c>
      <c r="M210" s="326">
        <f>Données!AE210</f>
        <v>0</v>
      </c>
      <c r="N210" s="308">
        <v>0</v>
      </c>
      <c r="O210" s="303">
        <f t="shared" si="37"/>
        <v>1189</v>
      </c>
      <c r="P210" s="308">
        <f t="shared" si="45"/>
        <v>2567</v>
      </c>
      <c r="Q210" s="309">
        <f t="shared" si="38"/>
        <v>35763.057294272563</v>
      </c>
      <c r="R210" s="308">
        <f t="shared" si="39"/>
        <v>78354.951974729585</v>
      </c>
      <c r="S210" s="302">
        <f t="shared" si="40"/>
        <v>62889.406784715262</v>
      </c>
      <c r="T210" s="303">
        <f t="shared" si="41"/>
        <v>0</v>
      </c>
      <c r="U210" s="327">
        <f t="shared" si="46"/>
        <v>177007.41605371743</v>
      </c>
    </row>
    <row r="211" spans="1:21" x14ac:dyDescent="0.25">
      <c r="A211" s="111">
        <f>Données!A211</f>
        <v>5746</v>
      </c>
      <c r="B211" s="112" t="str">
        <f>Données!B211</f>
        <v>Bavois</v>
      </c>
      <c r="C211" s="307">
        <f>Données!C211</f>
        <v>1055</v>
      </c>
      <c r="D211" s="303">
        <f t="shared" si="42"/>
        <v>1000</v>
      </c>
      <c r="E211" s="303">
        <f t="shared" si="36"/>
        <v>55</v>
      </c>
      <c r="F211" s="308">
        <f t="shared" si="36"/>
        <v>0</v>
      </c>
      <c r="G211" s="302">
        <f t="shared" si="36"/>
        <v>0</v>
      </c>
      <c r="H211" s="303">
        <f t="shared" si="36"/>
        <v>0</v>
      </c>
      <c r="I211" s="308">
        <f t="shared" si="36"/>
        <v>0</v>
      </c>
      <c r="J211" s="308">
        <f t="shared" si="36"/>
        <v>0</v>
      </c>
      <c r="K211" s="309">
        <f t="shared" si="43"/>
        <v>0</v>
      </c>
      <c r="L211" s="308">
        <f t="shared" si="44"/>
        <v>2165</v>
      </c>
      <c r="M211" s="326">
        <f>Données!AE211</f>
        <v>0</v>
      </c>
      <c r="N211" s="308">
        <v>0</v>
      </c>
      <c r="O211" s="303">
        <f t="shared" si="37"/>
        <v>1055</v>
      </c>
      <c r="P211" s="308">
        <f t="shared" si="45"/>
        <v>2165</v>
      </c>
      <c r="Q211" s="309">
        <f t="shared" si="38"/>
        <v>31732.569760687595</v>
      </c>
      <c r="R211" s="308">
        <f t="shared" si="39"/>
        <v>69524.368657140221</v>
      </c>
      <c r="S211" s="302">
        <f t="shared" si="40"/>
        <v>53040.734588589221</v>
      </c>
      <c r="T211" s="303">
        <f t="shared" si="41"/>
        <v>0</v>
      </c>
      <c r="U211" s="327">
        <f t="shared" si="46"/>
        <v>154297.67300641703</v>
      </c>
    </row>
    <row r="212" spans="1:21" x14ac:dyDescent="0.25">
      <c r="A212" s="111">
        <f>Données!A212</f>
        <v>5747</v>
      </c>
      <c r="B212" s="112" t="str">
        <f>Données!B212</f>
        <v>Bofflens</v>
      </c>
      <c r="C212" s="307">
        <f>Données!C212</f>
        <v>201</v>
      </c>
      <c r="D212" s="303">
        <f t="shared" si="42"/>
        <v>201</v>
      </c>
      <c r="E212" s="303">
        <f t="shared" si="36"/>
        <v>0</v>
      </c>
      <c r="F212" s="308">
        <f t="shared" si="36"/>
        <v>0</v>
      </c>
      <c r="G212" s="302">
        <f t="shared" si="36"/>
        <v>0</v>
      </c>
      <c r="H212" s="303">
        <f t="shared" si="36"/>
        <v>0</v>
      </c>
      <c r="I212" s="308">
        <f t="shared" si="36"/>
        <v>0</v>
      </c>
      <c r="J212" s="308">
        <f t="shared" si="36"/>
        <v>0</v>
      </c>
      <c r="K212" s="309">
        <f t="shared" si="43"/>
        <v>0</v>
      </c>
      <c r="L212" s="308">
        <f t="shared" si="44"/>
        <v>402</v>
      </c>
      <c r="M212" s="326">
        <f>Données!AE212</f>
        <v>0</v>
      </c>
      <c r="N212" s="308">
        <v>0</v>
      </c>
      <c r="O212" s="303">
        <f t="shared" si="37"/>
        <v>201</v>
      </c>
      <c r="P212" s="308">
        <f t="shared" si="45"/>
        <v>402</v>
      </c>
      <c r="Q212" s="309">
        <f t="shared" si="38"/>
        <v>6045.731300377447</v>
      </c>
      <c r="R212" s="308">
        <f t="shared" si="39"/>
        <v>13245.874976384061</v>
      </c>
      <c r="S212" s="302">
        <f t="shared" si="40"/>
        <v>9848.6721961260355</v>
      </c>
      <c r="T212" s="303">
        <f t="shared" si="41"/>
        <v>0</v>
      </c>
      <c r="U212" s="327">
        <f t="shared" si="46"/>
        <v>29140.278472887541</v>
      </c>
    </row>
    <row r="213" spans="1:21" x14ac:dyDescent="0.25">
      <c r="A213" s="111">
        <f>Données!A213</f>
        <v>5748</v>
      </c>
      <c r="B213" s="112" t="str">
        <f>Données!B213</f>
        <v>Bretonnières</v>
      </c>
      <c r="C213" s="307">
        <f>Données!C213</f>
        <v>265</v>
      </c>
      <c r="D213" s="303">
        <f t="shared" si="42"/>
        <v>265</v>
      </c>
      <c r="E213" s="303">
        <f t="shared" si="36"/>
        <v>0</v>
      </c>
      <c r="F213" s="308">
        <f t="shared" si="36"/>
        <v>0</v>
      </c>
      <c r="G213" s="302">
        <f t="shared" si="36"/>
        <v>0</v>
      </c>
      <c r="H213" s="303">
        <f t="shared" si="36"/>
        <v>0</v>
      </c>
      <c r="I213" s="308">
        <f t="shared" si="36"/>
        <v>0</v>
      </c>
      <c r="J213" s="308">
        <f t="shared" si="36"/>
        <v>0</v>
      </c>
      <c r="K213" s="309">
        <f t="shared" si="43"/>
        <v>0</v>
      </c>
      <c r="L213" s="308">
        <f t="shared" si="44"/>
        <v>530</v>
      </c>
      <c r="M213" s="326">
        <f>Données!AE213</f>
        <v>0</v>
      </c>
      <c r="N213" s="308">
        <v>0</v>
      </c>
      <c r="O213" s="303">
        <f t="shared" si="37"/>
        <v>265</v>
      </c>
      <c r="P213" s="308">
        <f t="shared" si="45"/>
        <v>530</v>
      </c>
      <c r="Q213" s="309">
        <f t="shared" si="38"/>
        <v>7970.7402716419083</v>
      </c>
      <c r="R213" s="308">
        <f t="shared" si="39"/>
        <v>17463.467008665553</v>
      </c>
      <c r="S213" s="302">
        <f t="shared" si="40"/>
        <v>12984.567820763183</v>
      </c>
      <c r="T213" s="303">
        <f t="shared" si="41"/>
        <v>0</v>
      </c>
      <c r="U213" s="327">
        <f t="shared" si="46"/>
        <v>38418.775101070642</v>
      </c>
    </row>
    <row r="214" spans="1:21" x14ac:dyDescent="0.25">
      <c r="A214" s="111">
        <f>Données!A214</f>
        <v>5749</v>
      </c>
      <c r="B214" s="112" t="str">
        <f>Données!B214</f>
        <v>Chavornay</v>
      </c>
      <c r="C214" s="307">
        <f>Données!C214</f>
        <v>5374</v>
      </c>
      <c r="D214" s="303">
        <f t="shared" si="42"/>
        <v>1000</v>
      </c>
      <c r="E214" s="303">
        <f t="shared" si="36"/>
        <v>2000</v>
      </c>
      <c r="F214" s="308">
        <f t="shared" si="36"/>
        <v>2000</v>
      </c>
      <c r="G214" s="302">
        <f t="shared" si="36"/>
        <v>374</v>
      </c>
      <c r="H214" s="303">
        <f t="shared" si="36"/>
        <v>0</v>
      </c>
      <c r="I214" s="308">
        <f t="shared" si="36"/>
        <v>0</v>
      </c>
      <c r="J214" s="308">
        <f t="shared" si="36"/>
        <v>0</v>
      </c>
      <c r="K214" s="309">
        <f t="shared" si="43"/>
        <v>0</v>
      </c>
      <c r="L214" s="308">
        <f t="shared" si="44"/>
        <v>16496</v>
      </c>
      <c r="M214" s="326">
        <f>Données!AE214</f>
        <v>0</v>
      </c>
      <c r="N214" s="308">
        <v>0</v>
      </c>
      <c r="O214" s="303">
        <f t="shared" si="37"/>
        <v>5374</v>
      </c>
      <c r="P214" s="308">
        <f t="shared" si="45"/>
        <v>16496</v>
      </c>
      <c r="Q214" s="309">
        <f t="shared" si="38"/>
        <v>161640.59705586269</v>
      </c>
      <c r="R214" s="308">
        <f t="shared" si="39"/>
        <v>354145.93096063653</v>
      </c>
      <c r="S214" s="302">
        <f t="shared" si="40"/>
        <v>404138.54862511216</v>
      </c>
      <c r="T214" s="303">
        <f t="shared" si="41"/>
        <v>0</v>
      </c>
      <c r="U214" s="327">
        <f t="shared" si="46"/>
        <v>919925.07664161141</v>
      </c>
    </row>
    <row r="215" spans="1:21" x14ac:dyDescent="0.25">
      <c r="A215" s="111">
        <f>Données!A215</f>
        <v>5750</v>
      </c>
      <c r="B215" s="112" t="str">
        <f>Données!B215</f>
        <v>Les Clées</v>
      </c>
      <c r="C215" s="307">
        <f>Données!C215</f>
        <v>195</v>
      </c>
      <c r="D215" s="303">
        <f t="shared" si="42"/>
        <v>195</v>
      </c>
      <c r="E215" s="303">
        <f t="shared" si="36"/>
        <v>0</v>
      </c>
      <c r="F215" s="308">
        <f t="shared" si="36"/>
        <v>0</v>
      </c>
      <c r="G215" s="302">
        <f t="shared" si="36"/>
        <v>0</v>
      </c>
      <c r="H215" s="303">
        <f t="shared" si="36"/>
        <v>0</v>
      </c>
      <c r="I215" s="308">
        <f t="shared" si="36"/>
        <v>0</v>
      </c>
      <c r="J215" s="308">
        <f t="shared" si="36"/>
        <v>0</v>
      </c>
      <c r="K215" s="309">
        <f t="shared" si="43"/>
        <v>0</v>
      </c>
      <c r="L215" s="308">
        <f t="shared" si="44"/>
        <v>390</v>
      </c>
      <c r="M215" s="326">
        <f>Données!AE215</f>
        <v>0</v>
      </c>
      <c r="N215" s="308">
        <v>0</v>
      </c>
      <c r="O215" s="303">
        <f t="shared" si="37"/>
        <v>195</v>
      </c>
      <c r="P215" s="308">
        <f t="shared" si="45"/>
        <v>390</v>
      </c>
      <c r="Q215" s="309">
        <f t="shared" si="38"/>
        <v>5865.2617093214039</v>
      </c>
      <c r="R215" s="308">
        <f t="shared" si="39"/>
        <v>12850.475723357671</v>
      </c>
      <c r="S215" s="302">
        <f t="shared" si="40"/>
        <v>9554.6819813163038</v>
      </c>
      <c r="T215" s="303">
        <f t="shared" si="41"/>
        <v>0</v>
      </c>
      <c r="U215" s="327">
        <f t="shared" si="46"/>
        <v>28270.419413995376</v>
      </c>
    </row>
    <row r="216" spans="1:21" x14ac:dyDescent="0.25">
      <c r="A216" s="111">
        <f>Données!A216</f>
        <v>5752</v>
      </c>
      <c r="B216" s="112" t="str">
        <f>Données!B216</f>
        <v>Croy</v>
      </c>
      <c r="C216" s="307">
        <f>Données!C216</f>
        <v>408</v>
      </c>
      <c r="D216" s="303">
        <f t="shared" si="42"/>
        <v>408</v>
      </c>
      <c r="E216" s="303">
        <f t="shared" si="36"/>
        <v>0</v>
      </c>
      <c r="F216" s="308">
        <f t="shared" si="36"/>
        <v>0</v>
      </c>
      <c r="G216" s="302">
        <f t="shared" si="36"/>
        <v>0</v>
      </c>
      <c r="H216" s="303">
        <f t="shared" si="36"/>
        <v>0</v>
      </c>
      <c r="I216" s="308">
        <f t="shared" si="36"/>
        <v>0</v>
      </c>
      <c r="J216" s="308">
        <f t="shared" si="36"/>
        <v>0</v>
      </c>
      <c r="K216" s="309">
        <f t="shared" si="43"/>
        <v>0</v>
      </c>
      <c r="L216" s="308">
        <f t="shared" si="44"/>
        <v>816</v>
      </c>
      <c r="M216" s="326">
        <f>Données!AE216</f>
        <v>0</v>
      </c>
      <c r="N216" s="308">
        <v>0</v>
      </c>
      <c r="O216" s="303">
        <f t="shared" si="37"/>
        <v>408</v>
      </c>
      <c r="P216" s="308">
        <f t="shared" si="45"/>
        <v>816</v>
      </c>
      <c r="Q216" s="309">
        <f t="shared" si="38"/>
        <v>12271.932191810938</v>
      </c>
      <c r="R216" s="308">
        <f t="shared" si="39"/>
        <v>26887.149205794511</v>
      </c>
      <c r="S216" s="302">
        <f t="shared" si="40"/>
        <v>19991.334607061806</v>
      </c>
      <c r="T216" s="303">
        <f t="shared" si="41"/>
        <v>0</v>
      </c>
      <c r="U216" s="327">
        <f t="shared" si="46"/>
        <v>59150.416004667255</v>
      </c>
    </row>
    <row r="217" spans="1:21" x14ac:dyDescent="0.25">
      <c r="A217" s="111">
        <f>Données!A217</f>
        <v>5754</v>
      </c>
      <c r="B217" s="112" t="str">
        <f>Données!B217</f>
        <v>Juriens</v>
      </c>
      <c r="C217" s="307">
        <f>Données!C217</f>
        <v>345</v>
      </c>
      <c r="D217" s="303">
        <f t="shared" si="42"/>
        <v>345</v>
      </c>
      <c r="E217" s="303">
        <f t="shared" si="36"/>
        <v>0</v>
      </c>
      <c r="F217" s="308">
        <f t="shared" si="36"/>
        <v>0</v>
      </c>
      <c r="G217" s="302">
        <f t="shared" si="36"/>
        <v>0</v>
      </c>
      <c r="H217" s="303">
        <f t="shared" si="36"/>
        <v>0</v>
      </c>
      <c r="I217" s="308">
        <f t="shared" si="36"/>
        <v>0</v>
      </c>
      <c r="J217" s="308">
        <f t="shared" si="36"/>
        <v>0</v>
      </c>
      <c r="K217" s="309">
        <f t="shared" si="43"/>
        <v>0</v>
      </c>
      <c r="L217" s="308">
        <f t="shared" si="44"/>
        <v>690</v>
      </c>
      <c r="M217" s="326">
        <f>Données!AE217</f>
        <v>0</v>
      </c>
      <c r="N217" s="308">
        <v>0</v>
      </c>
      <c r="O217" s="303">
        <f t="shared" si="37"/>
        <v>345</v>
      </c>
      <c r="P217" s="308">
        <f t="shared" si="45"/>
        <v>690</v>
      </c>
      <c r="Q217" s="309">
        <f t="shared" si="38"/>
        <v>10377.001485722483</v>
      </c>
      <c r="R217" s="308">
        <f t="shared" si="39"/>
        <v>22735.457049017416</v>
      </c>
      <c r="S217" s="302">
        <f t="shared" si="40"/>
        <v>16904.437351559613</v>
      </c>
      <c r="T217" s="303">
        <f t="shared" si="41"/>
        <v>0</v>
      </c>
      <c r="U217" s="327">
        <f t="shared" si="46"/>
        <v>50016.895886299506</v>
      </c>
    </row>
    <row r="218" spans="1:21" x14ac:dyDescent="0.25">
      <c r="A218" s="111">
        <f>Données!A218</f>
        <v>5755</v>
      </c>
      <c r="B218" s="112" t="str">
        <f>Données!B218</f>
        <v>Lignerolle</v>
      </c>
      <c r="C218" s="307">
        <f>Données!C218</f>
        <v>452</v>
      </c>
      <c r="D218" s="303">
        <f t="shared" si="42"/>
        <v>452</v>
      </c>
      <c r="E218" s="303">
        <f t="shared" si="36"/>
        <v>0</v>
      </c>
      <c r="F218" s="308">
        <f t="shared" si="36"/>
        <v>0</v>
      </c>
      <c r="G218" s="302">
        <f t="shared" si="36"/>
        <v>0</v>
      </c>
      <c r="H218" s="303">
        <f t="shared" si="36"/>
        <v>0</v>
      </c>
      <c r="I218" s="308">
        <f t="shared" si="36"/>
        <v>0</v>
      </c>
      <c r="J218" s="308">
        <f t="shared" si="36"/>
        <v>0</v>
      </c>
      <c r="K218" s="309">
        <f t="shared" si="43"/>
        <v>0</v>
      </c>
      <c r="L218" s="308">
        <f t="shared" si="44"/>
        <v>904</v>
      </c>
      <c r="M218" s="326">
        <f>Données!AE218</f>
        <v>0</v>
      </c>
      <c r="N218" s="308">
        <v>0</v>
      </c>
      <c r="O218" s="303">
        <f t="shared" si="37"/>
        <v>452</v>
      </c>
      <c r="P218" s="308">
        <f t="shared" si="45"/>
        <v>904</v>
      </c>
      <c r="Q218" s="309">
        <f t="shared" si="38"/>
        <v>13595.375859555254</v>
      </c>
      <c r="R218" s="308">
        <f t="shared" si="39"/>
        <v>29786.743727988036</v>
      </c>
      <c r="S218" s="302">
        <f t="shared" si="40"/>
        <v>22147.262848999842</v>
      </c>
      <c r="T218" s="303">
        <f t="shared" si="41"/>
        <v>0</v>
      </c>
      <c r="U218" s="327">
        <f t="shared" si="46"/>
        <v>65529.382436543136</v>
      </c>
    </row>
    <row r="219" spans="1:21" x14ac:dyDescent="0.25">
      <c r="A219" s="111">
        <f>Données!A219</f>
        <v>5756</v>
      </c>
      <c r="B219" s="112" t="str">
        <f>Données!B219</f>
        <v>Montcherand</v>
      </c>
      <c r="C219" s="307">
        <f>Données!C219</f>
        <v>494</v>
      </c>
      <c r="D219" s="303">
        <f t="shared" si="42"/>
        <v>494</v>
      </c>
      <c r="E219" s="303">
        <f t="shared" si="36"/>
        <v>0</v>
      </c>
      <c r="F219" s="308">
        <f t="shared" si="36"/>
        <v>0</v>
      </c>
      <c r="G219" s="302">
        <f t="shared" si="36"/>
        <v>0</v>
      </c>
      <c r="H219" s="303">
        <f t="shared" si="36"/>
        <v>0</v>
      </c>
      <c r="I219" s="308">
        <f t="shared" si="36"/>
        <v>0</v>
      </c>
      <c r="J219" s="308">
        <f t="shared" si="36"/>
        <v>0</v>
      </c>
      <c r="K219" s="309">
        <f t="shared" si="43"/>
        <v>0</v>
      </c>
      <c r="L219" s="308">
        <f t="shared" si="44"/>
        <v>988</v>
      </c>
      <c r="M219" s="326">
        <f>Données!AE219</f>
        <v>0</v>
      </c>
      <c r="N219" s="308">
        <v>0</v>
      </c>
      <c r="O219" s="303">
        <f t="shared" si="37"/>
        <v>494</v>
      </c>
      <c r="P219" s="308">
        <f t="shared" si="45"/>
        <v>988</v>
      </c>
      <c r="Q219" s="309">
        <f t="shared" si="38"/>
        <v>14858.662996947556</v>
      </c>
      <c r="R219" s="308">
        <f t="shared" si="39"/>
        <v>32554.538499172766</v>
      </c>
      <c r="S219" s="302">
        <f t="shared" si="40"/>
        <v>24205.194352667968</v>
      </c>
      <c r="T219" s="303">
        <f t="shared" si="41"/>
        <v>0</v>
      </c>
      <c r="U219" s="327">
        <f t="shared" si="46"/>
        <v>71618.395848788292</v>
      </c>
    </row>
    <row r="220" spans="1:21" x14ac:dyDescent="0.25">
      <c r="A220" s="111">
        <f>Données!A220</f>
        <v>5757</v>
      </c>
      <c r="B220" s="112" t="str">
        <f>Données!B220</f>
        <v>Orbe</v>
      </c>
      <c r="C220" s="307">
        <f>Données!C220</f>
        <v>8008</v>
      </c>
      <c r="D220" s="303">
        <f t="shared" si="42"/>
        <v>1000</v>
      </c>
      <c r="E220" s="303">
        <f t="shared" si="36"/>
        <v>2000</v>
      </c>
      <c r="F220" s="308">
        <f t="shared" si="36"/>
        <v>2000</v>
      </c>
      <c r="G220" s="302">
        <f t="shared" si="36"/>
        <v>3008</v>
      </c>
      <c r="H220" s="303">
        <f t="shared" si="36"/>
        <v>0</v>
      </c>
      <c r="I220" s="308">
        <f t="shared" si="36"/>
        <v>0</v>
      </c>
      <c r="J220" s="308">
        <f t="shared" si="36"/>
        <v>0</v>
      </c>
      <c r="K220" s="309">
        <f t="shared" si="43"/>
        <v>0</v>
      </c>
      <c r="L220" s="308">
        <f t="shared" si="44"/>
        <v>27032</v>
      </c>
      <c r="M220" s="326">
        <f>Données!AE220</f>
        <v>0</v>
      </c>
      <c r="N220" s="308">
        <v>0</v>
      </c>
      <c r="O220" s="303">
        <f t="shared" si="37"/>
        <v>8008</v>
      </c>
      <c r="P220" s="308">
        <f t="shared" si="45"/>
        <v>27032</v>
      </c>
      <c r="Q220" s="309">
        <f t="shared" si="38"/>
        <v>240866.74752946565</v>
      </c>
      <c r="R220" s="308">
        <f t="shared" si="39"/>
        <v>527726.2030392217</v>
      </c>
      <c r="S220" s="302">
        <f t="shared" si="40"/>
        <v>662261.9572280572</v>
      </c>
      <c r="T220" s="303">
        <f t="shared" si="41"/>
        <v>0</v>
      </c>
      <c r="U220" s="327">
        <f t="shared" si="46"/>
        <v>1430854.9077967447</v>
      </c>
    </row>
    <row r="221" spans="1:21" x14ac:dyDescent="0.25">
      <c r="A221" s="111">
        <f>Données!A221</f>
        <v>5758</v>
      </c>
      <c r="B221" s="112" t="str">
        <f>Données!B221</f>
        <v>La Praz</v>
      </c>
      <c r="C221" s="307">
        <f>Données!C221</f>
        <v>214</v>
      </c>
      <c r="D221" s="303">
        <f t="shared" si="42"/>
        <v>214</v>
      </c>
      <c r="E221" s="303">
        <f t="shared" si="36"/>
        <v>0</v>
      </c>
      <c r="F221" s="308">
        <f t="shared" si="36"/>
        <v>0</v>
      </c>
      <c r="G221" s="302">
        <f t="shared" si="36"/>
        <v>0</v>
      </c>
      <c r="H221" s="303">
        <f t="shared" si="36"/>
        <v>0</v>
      </c>
      <c r="I221" s="308">
        <f t="shared" si="36"/>
        <v>0</v>
      </c>
      <c r="J221" s="308">
        <f t="shared" si="36"/>
        <v>0</v>
      </c>
      <c r="K221" s="309">
        <f t="shared" si="43"/>
        <v>0</v>
      </c>
      <c r="L221" s="308">
        <f t="shared" si="44"/>
        <v>428</v>
      </c>
      <c r="M221" s="326">
        <f>Données!AE221</f>
        <v>0</v>
      </c>
      <c r="N221" s="308">
        <v>0</v>
      </c>
      <c r="O221" s="303">
        <f t="shared" si="37"/>
        <v>214</v>
      </c>
      <c r="P221" s="308">
        <f t="shared" si="45"/>
        <v>428</v>
      </c>
      <c r="Q221" s="309">
        <f t="shared" si="38"/>
        <v>6436.7487476655406</v>
      </c>
      <c r="R221" s="308">
        <f t="shared" si="39"/>
        <v>14102.573357941239</v>
      </c>
      <c r="S221" s="302">
        <f t="shared" si="40"/>
        <v>10485.650994880456</v>
      </c>
      <c r="T221" s="303">
        <f t="shared" si="41"/>
        <v>0</v>
      </c>
      <c r="U221" s="327">
        <f t="shared" si="46"/>
        <v>31024.973100487234</v>
      </c>
    </row>
    <row r="222" spans="1:21" x14ac:dyDescent="0.25">
      <c r="A222" s="111">
        <f>Données!A222</f>
        <v>5759</v>
      </c>
      <c r="B222" s="112" t="str">
        <f>Données!B222</f>
        <v>Premier</v>
      </c>
      <c r="C222" s="307">
        <f>Données!C222</f>
        <v>233</v>
      </c>
      <c r="D222" s="303">
        <f t="shared" si="42"/>
        <v>233</v>
      </c>
      <c r="E222" s="303">
        <f t="shared" si="36"/>
        <v>0</v>
      </c>
      <c r="F222" s="308">
        <f t="shared" si="36"/>
        <v>0</v>
      </c>
      <c r="G222" s="302">
        <f t="shared" si="36"/>
        <v>0</v>
      </c>
      <c r="H222" s="303">
        <f t="shared" si="36"/>
        <v>0</v>
      </c>
      <c r="I222" s="308">
        <f t="shared" si="36"/>
        <v>0</v>
      </c>
      <c r="J222" s="308">
        <f t="shared" si="36"/>
        <v>0</v>
      </c>
      <c r="K222" s="309">
        <f t="shared" si="43"/>
        <v>0</v>
      </c>
      <c r="L222" s="308">
        <f t="shared" si="44"/>
        <v>466</v>
      </c>
      <c r="M222" s="326">
        <f>Données!AE222</f>
        <v>0</v>
      </c>
      <c r="N222" s="308">
        <v>0</v>
      </c>
      <c r="O222" s="303">
        <f t="shared" si="37"/>
        <v>233</v>
      </c>
      <c r="P222" s="308">
        <f t="shared" si="45"/>
        <v>466</v>
      </c>
      <c r="Q222" s="309">
        <f t="shared" si="38"/>
        <v>7008.2357860096772</v>
      </c>
      <c r="R222" s="308">
        <f t="shared" si="39"/>
        <v>15354.670992524807</v>
      </c>
      <c r="S222" s="302">
        <f t="shared" si="40"/>
        <v>11416.620008444608</v>
      </c>
      <c r="T222" s="303">
        <f t="shared" si="41"/>
        <v>0</v>
      </c>
      <c r="U222" s="327">
        <f t="shared" si="46"/>
        <v>33779.526786979091</v>
      </c>
    </row>
    <row r="223" spans="1:21" x14ac:dyDescent="0.25">
      <c r="A223" s="111">
        <f>Données!A223</f>
        <v>5760</v>
      </c>
      <c r="B223" s="112" t="str">
        <f>Données!B223</f>
        <v>Rances</v>
      </c>
      <c r="C223" s="307">
        <f>Données!C223</f>
        <v>513</v>
      </c>
      <c r="D223" s="303">
        <f t="shared" si="42"/>
        <v>513</v>
      </c>
      <c r="E223" s="303">
        <f t="shared" si="36"/>
        <v>0</v>
      </c>
      <c r="F223" s="308">
        <f t="shared" si="36"/>
        <v>0</v>
      </c>
      <c r="G223" s="302">
        <f t="shared" si="36"/>
        <v>0</v>
      </c>
      <c r="H223" s="303">
        <f t="shared" si="36"/>
        <v>0</v>
      </c>
      <c r="I223" s="308">
        <f t="shared" si="36"/>
        <v>0</v>
      </c>
      <c r="J223" s="308">
        <f t="shared" si="36"/>
        <v>0</v>
      </c>
      <c r="K223" s="309">
        <f t="shared" si="43"/>
        <v>0</v>
      </c>
      <c r="L223" s="308">
        <f t="shared" si="44"/>
        <v>1026</v>
      </c>
      <c r="M223" s="326">
        <f>Données!AE223</f>
        <v>0</v>
      </c>
      <c r="N223" s="308">
        <v>0</v>
      </c>
      <c r="O223" s="303">
        <f t="shared" si="37"/>
        <v>513</v>
      </c>
      <c r="P223" s="308">
        <f t="shared" si="45"/>
        <v>1026</v>
      </c>
      <c r="Q223" s="309">
        <f t="shared" si="38"/>
        <v>15430.150035291694</v>
      </c>
      <c r="R223" s="308">
        <f t="shared" si="39"/>
        <v>33806.636133756336</v>
      </c>
      <c r="S223" s="302">
        <f t="shared" si="40"/>
        <v>25136.163366232122</v>
      </c>
      <c r="T223" s="303">
        <f t="shared" si="41"/>
        <v>0</v>
      </c>
      <c r="U223" s="327">
        <f t="shared" si="46"/>
        <v>74372.949535280146</v>
      </c>
    </row>
    <row r="224" spans="1:21" x14ac:dyDescent="0.25">
      <c r="A224" s="111">
        <f>Données!A224</f>
        <v>5761</v>
      </c>
      <c r="B224" s="112" t="str">
        <f>Données!B224</f>
        <v>Romainmôtier-Envy</v>
      </c>
      <c r="C224" s="307">
        <f>Données!C224</f>
        <v>579</v>
      </c>
      <c r="D224" s="303">
        <f t="shared" si="42"/>
        <v>579</v>
      </c>
      <c r="E224" s="303">
        <f t="shared" si="36"/>
        <v>0</v>
      </c>
      <c r="F224" s="308">
        <f t="shared" si="36"/>
        <v>0</v>
      </c>
      <c r="G224" s="302">
        <f t="shared" si="36"/>
        <v>0</v>
      </c>
      <c r="H224" s="303">
        <f t="shared" si="36"/>
        <v>0</v>
      </c>
      <c r="I224" s="308">
        <f t="shared" si="36"/>
        <v>0</v>
      </c>
      <c r="J224" s="308">
        <f t="shared" si="36"/>
        <v>0</v>
      </c>
      <c r="K224" s="309">
        <f t="shared" si="43"/>
        <v>0</v>
      </c>
      <c r="L224" s="308">
        <f t="shared" si="44"/>
        <v>1158</v>
      </c>
      <c r="M224" s="326">
        <f>Données!AE224</f>
        <v>0</v>
      </c>
      <c r="N224" s="308">
        <v>0</v>
      </c>
      <c r="O224" s="303">
        <f t="shared" si="37"/>
        <v>579</v>
      </c>
      <c r="P224" s="308">
        <f t="shared" si="45"/>
        <v>1158</v>
      </c>
      <c r="Q224" s="309">
        <f t="shared" si="38"/>
        <v>17415.315536908169</v>
      </c>
      <c r="R224" s="308">
        <f t="shared" si="39"/>
        <v>38156.027917046624</v>
      </c>
      <c r="S224" s="302">
        <f t="shared" si="40"/>
        <v>28370.055729139178</v>
      </c>
      <c r="T224" s="303">
        <f t="shared" si="41"/>
        <v>0</v>
      </c>
      <c r="U224" s="327">
        <f t="shared" si="46"/>
        <v>83941.399183093963</v>
      </c>
    </row>
    <row r="225" spans="1:21" x14ac:dyDescent="0.25">
      <c r="A225" s="111">
        <f>Données!A225</f>
        <v>5762</v>
      </c>
      <c r="B225" s="112" t="str">
        <f>Données!B225</f>
        <v>Sergey</v>
      </c>
      <c r="C225" s="307">
        <f>Données!C225</f>
        <v>165</v>
      </c>
      <c r="D225" s="303">
        <f t="shared" si="42"/>
        <v>165</v>
      </c>
      <c r="E225" s="303">
        <f t="shared" si="36"/>
        <v>0</v>
      </c>
      <c r="F225" s="308">
        <f t="shared" si="36"/>
        <v>0</v>
      </c>
      <c r="G225" s="302">
        <f t="shared" si="36"/>
        <v>0</v>
      </c>
      <c r="H225" s="303">
        <f t="shared" si="36"/>
        <v>0</v>
      </c>
      <c r="I225" s="308">
        <f t="shared" si="36"/>
        <v>0</v>
      </c>
      <c r="J225" s="308">
        <f t="shared" si="36"/>
        <v>0</v>
      </c>
      <c r="K225" s="309">
        <f t="shared" si="43"/>
        <v>0</v>
      </c>
      <c r="L225" s="308">
        <f t="shared" si="44"/>
        <v>330</v>
      </c>
      <c r="M225" s="326">
        <f>Données!AE225</f>
        <v>0</v>
      </c>
      <c r="N225" s="308">
        <v>0</v>
      </c>
      <c r="O225" s="303">
        <f t="shared" si="37"/>
        <v>165</v>
      </c>
      <c r="P225" s="308">
        <f t="shared" si="45"/>
        <v>330</v>
      </c>
      <c r="Q225" s="309">
        <f t="shared" si="38"/>
        <v>4962.9137540411884</v>
      </c>
      <c r="R225" s="308">
        <f t="shared" si="39"/>
        <v>10873.479458225722</v>
      </c>
      <c r="S225" s="302">
        <f t="shared" si="40"/>
        <v>8084.7309072676417</v>
      </c>
      <c r="T225" s="303">
        <f t="shared" si="41"/>
        <v>0</v>
      </c>
      <c r="U225" s="327">
        <f t="shared" si="46"/>
        <v>23921.12411953455</v>
      </c>
    </row>
    <row r="226" spans="1:21" x14ac:dyDescent="0.25">
      <c r="A226" s="111">
        <f>Données!A226</f>
        <v>5763</v>
      </c>
      <c r="B226" s="112" t="str">
        <f>Données!B226</f>
        <v>Valeyres-sous-Rances</v>
      </c>
      <c r="C226" s="307">
        <f>Données!C226</f>
        <v>573</v>
      </c>
      <c r="D226" s="303">
        <f t="shared" si="42"/>
        <v>573</v>
      </c>
      <c r="E226" s="303">
        <f t="shared" si="36"/>
        <v>0</v>
      </c>
      <c r="F226" s="308">
        <f t="shared" si="36"/>
        <v>0</v>
      </c>
      <c r="G226" s="302">
        <f t="shared" si="36"/>
        <v>0</v>
      </c>
      <c r="H226" s="303">
        <f t="shared" si="36"/>
        <v>0</v>
      </c>
      <c r="I226" s="308">
        <f t="shared" si="36"/>
        <v>0</v>
      </c>
      <c r="J226" s="308">
        <f t="shared" si="36"/>
        <v>0</v>
      </c>
      <c r="K226" s="309">
        <f t="shared" si="43"/>
        <v>0</v>
      </c>
      <c r="L226" s="308">
        <f t="shared" si="44"/>
        <v>1146</v>
      </c>
      <c r="M226" s="326">
        <f>Données!AE226</f>
        <v>0</v>
      </c>
      <c r="N226" s="308">
        <v>0</v>
      </c>
      <c r="O226" s="303">
        <f t="shared" si="37"/>
        <v>573</v>
      </c>
      <c r="P226" s="308">
        <f t="shared" si="45"/>
        <v>1146</v>
      </c>
      <c r="Q226" s="309">
        <f t="shared" si="38"/>
        <v>17234.845945852125</v>
      </c>
      <c r="R226" s="308">
        <f t="shared" si="39"/>
        <v>37760.628664020231</v>
      </c>
      <c r="S226" s="302">
        <f t="shared" si="40"/>
        <v>28076.065514329446</v>
      </c>
      <c r="T226" s="303">
        <f t="shared" si="41"/>
        <v>0</v>
      </c>
      <c r="U226" s="327">
        <f t="shared" si="46"/>
        <v>83071.540124201798</v>
      </c>
    </row>
    <row r="227" spans="1:21" x14ac:dyDescent="0.25">
      <c r="A227" s="111">
        <f>Données!A227</f>
        <v>5764</v>
      </c>
      <c r="B227" s="112" t="str">
        <f>Données!B227</f>
        <v>Vallorbe</v>
      </c>
      <c r="C227" s="307">
        <f>Données!C227</f>
        <v>4434</v>
      </c>
      <c r="D227" s="303">
        <f t="shared" si="42"/>
        <v>1000</v>
      </c>
      <c r="E227" s="303">
        <f t="shared" si="36"/>
        <v>2000</v>
      </c>
      <c r="F227" s="308">
        <f t="shared" si="36"/>
        <v>1434</v>
      </c>
      <c r="G227" s="302">
        <f t="shared" si="36"/>
        <v>0</v>
      </c>
      <c r="H227" s="303">
        <f t="shared" si="36"/>
        <v>0</v>
      </c>
      <c r="I227" s="308">
        <f t="shared" si="36"/>
        <v>0</v>
      </c>
      <c r="J227" s="308">
        <f t="shared" si="36"/>
        <v>0</v>
      </c>
      <c r="K227" s="309">
        <f t="shared" si="43"/>
        <v>0</v>
      </c>
      <c r="L227" s="308">
        <f t="shared" si="44"/>
        <v>13019</v>
      </c>
      <c r="M227" s="326">
        <f>Données!AE227</f>
        <v>0</v>
      </c>
      <c r="N227" s="308">
        <v>0</v>
      </c>
      <c r="O227" s="303">
        <f t="shared" si="37"/>
        <v>4434</v>
      </c>
      <c r="P227" s="308">
        <f t="shared" si="45"/>
        <v>13019</v>
      </c>
      <c r="Q227" s="309">
        <f t="shared" si="38"/>
        <v>133367.02779041592</v>
      </c>
      <c r="R227" s="308">
        <f t="shared" si="39"/>
        <v>292200.04798650212</v>
      </c>
      <c r="S227" s="302">
        <f t="shared" si="40"/>
        <v>318954.88388399221</v>
      </c>
      <c r="T227" s="303">
        <f t="shared" si="41"/>
        <v>0</v>
      </c>
      <c r="U227" s="327">
        <f t="shared" si="46"/>
        <v>744521.9596609103</v>
      </c>
    </row>
    <row r="228" spans="1:21" x14ac:dyDescent="0.25">
      <c r="A228" s="111">
        <f>Données!A228</f>
        <v>5765</v>
      </c>
      <c r="B228" s="112" t="str">
        <f>Données!B228</f>
        <v>Vaulion</v>
      </c>
      <c r="C228" s="307">
        <f>Données!C228</f>
        <v>500</v>
      </c>
      <c r="D228" s="303">
        <f t="shared" si="42"/>
        <v>500</v>
      </c>
      <c r="E228" s="303">
        <f t="shared" si="36"/>
        <v>0</v>
      </c>
      <c r="F228" s="308">
        <f t="shared" si="36"/>
        <v>0</v>
      </c>
      <c r="G228" s="302">
        <f t="shared" si="36"/>
        <v>0</v>
      </c>
      <c r="H228" s="303">
        <f t="shared" si="36"/>
        <v>0</v>
      </c>
      <c r="I228" s="308">
        <f t="shared" si="36"/>
        <v>0</v>
      </c>
      <c r="J228" s="308">
        <f t="shared" si="36"/>
        <v>0</v>
      </c>
      <c r="K228" s="309">
        <f t="shared" si="43"/>
        <v>0</v>
      </c>
      <c r="L228" s="308">
        <f t="shared" si="44"/>
        <v>1000</v>
      </c>
      <c r="M228" s="326">
        <f>Données!AE228</f>
        <v>0</v>
      </c>
      <c r="N228" s="308">
        <v>0</v>
      </c>
      <c r="O228" s="303">
        <f t="shared" si="37"/>
        <v>500</v>
      </c>
      <c r="P228" s="308">
        <f t="shared" si="45"/>
        <v>1000</v>
      </c>
      <c r="Q228" s="309">
        <f t="shared" si="38"/>
        <v>15039.1325880036</v>
      </c>
      <c r="R228" s="308">
        <f t="shared" si="39"/>
        <v>32949.937752199156</v>
      </c>
      <c r="S228" s="302">
        <f t="shared" si="40"/>
        <v>24499.184567477703</v>
      </c>
      <c r="T228" s="303">
        <f t="shared" si="41"/>
        <v>0</v>
      </c>
      <c r="U228" s="327">
        <f t="shared" si="46"/>
        <v>72488.254907680457</v>
      </c>
    </row>
    <row r="229" spans="1:21" x14ac:dyDescent="0.25">
      <c r="A229" s="111">
        <f>Données!A229</f>
        <v>5766</v>
      </c>
      <c r="B229" s="112" t="str">
        <f>Données!B229</f>
        <v>Vuiteboeuf</v>
      </c>
      <c r="C229" s="307">
        <f>Données!C229</f>
        <v>616</v>
      </c>
      <c r="D229" s="303">
        <f t="shared" si="42"/>
        <v>616</v>
      </c>
      <c r="E229" s="303">
        <f t="shared" si="36"/>
        <v>0</v>
      </c>
      <c r="F229" s="308">
        <f t="shared" si="36"/>
        <v>0</v>
      </c>
      <c r="G229" s="302">
        <f t="shared" si="36"/>
        <v>0</v>
      </c>
      <c r="H229" s="303">
        <f t="shared" si="36"/>
        <v>0</v>
      </c>
      <c r="I229" s="308">
        <f t="shared" si="36"/>
        <v>0</v>
      </c>
      <c r="J229" s="308">
        <f t="shared" si="36"/>
        <v>0</v>
      </c>
      <c r="K229" s="309">
        <f t="shared" si="43"/>
        <v>0</v>
      </c>
      <c r="L229" s="308">
        <f t="shared" si="44"/>
        <v>1232</v>
      </c>
      <c r="M229" s="326">
        <f>Données!AE229</f>
        <v>0</v>
      </c>
      <c r="N229" s="308">
        <v>0</v>
      </c>
      <c r="O229" s="303">
        <f t="shared" si="37"/>
        <v>616</v>
      </c>
      <c r="P229" s="308">
        <f t="shared" si="45"/>
        <v>1232</v>
      </c>
      <c r="Q229" s="309">
        <f t="shared" si="38"/>
        <v>18528.211348420435</v>
      </c>
      <c r="R229" s="308">
        <f t="shared" si="39"/>
        <v>40594.323310709362</v>
      </c>
      <c r="S229" s="302">
        <f t="shared" si="40"/>
        <v>30182.995387132527</v>
      </c>
      <c r="T229" s="303">
        <f t="shared" si="41"/>
        <v>0</v>
      </c>
      <c r="U229" s="327">
        <f t="shared" si="46"/>
        <v>89305.530046262327</v>
      </c>
    </row>
    <row r="230" spans="1:21" x14ac:dyDescent="0.25">
      <c r="A230" s="111">
        <f>Données!A230</f>
        <v>5785</v>
      </c>
      <c r="B230" s="112" t="str">
        <f>Données!B230</f>
        <v>Corcelles-le-Jorat</v>
      </c>
      <c r="C230" s="307">
        <f>Données!C230</f>
        <v>495</v>
      </c>
      <c r="D230" s="303">
        <f t="shared" si="42"/>
        <v>495</v>
      </c>
      <c r="E230" s="303">
        <f t="shared" si="36"/>
        <v>0</v>
      </c>
      <c r="F230" s="308">
        <f t="shared" si="36"/>
        <v>0</v>
      </c>
      <c r="G230" s="302">
        <f t="shared" si="36"/>
        <v>0</v>
      </c>
      <c r="H230" s="303">
        <f t="shared" si="36"/>
        <v>0</v>
      </c>
      <c r="I230" s="308">
        <f t="shared" si="36"/>
        <v>0</v>
      </c>
      <c r="J230" s="308">
        <f t="shared" si="36"/>
        <v>0</v>
      </c>
      <c r="K230" s="309">
        <f t="shared" si="43"/>
        <v>0</v>
      </c>
      <c r="L230" s="308">
        <f t="shared" si="44"/>
        <v>990</v>
      </c>
      <c r="M230" s="326">
        <f>Données!AE230</f>
        <v>0</v>
      </c>
      <c r="N230" s="308">
        <v>0</v>
      </c>
      <c r="O230" s="303">
        <f t="shared" si="37"/>
        <v>495</v>
      </c>
      <c r="P230" s="308">
        <f t="shared" si="45"/>
        <v>990</v>
      </c>
      <c r="Q230" s="309">
        <f t="shared" si="38"/>
        <v>14888.741262123564</v>
      </c>
      <c r="R230" s="308">
        <f t="shared" si="39"/>
        <v>32620.438374677164</v>
      </c>
      <c r="S230" s="302">
        <f t="shared" si="40"/>
        <v>24254.192721802923</v>
      </c>
      <c r="T230" s="303">
        <f t="shared" si="41"/>
        <v>0</v>
      </c>
      <c r="U230" s="327">
        <f t="shared" si="46"/>
        <v>71763.37235860365</v>
      </c>
    </row>
    <row r="231" spans="1:21" x14ac:dyDescent="0.25">
      <c r="A231" s="111">
        <f>Données!A231</f>
        <v>5790</v>
      </c>
      <c r="B231" s="112" t="str">
        <f>Données!B231</f>
        <v>Maracon</v>
      </c>
      <c r="C231" s="307">
        <f>Données!C231</f>
        <v>565</v>
      </c>
      <c r="D231" s="303">
        <f t="shared" si="42"/>
        <v>565</v>
      </c>
      <c r="E231" s="303">
        <f t="shared" si="36"/>
        <v>0</v>
      </c>
      <c r="F231" s="308">
        <f t="shared" si="36"/>
        <v>0</v>
      </c>
      <c r="G231" s="302">
        <f t="shared" si="36"/>
        <v>0</v>
      </c>
      <c r="H231" s="303">
        <f t="shared" si="36"/>
        <v>0</v>
      </c>
      <c r="I231" s="308">
        <f t="shared" si="36"/>
        <v>0</v>
      </c>
      <c r="J231" s="308">
        <f t="shared" si="36"/>
        <v>0</v>
      </c>
      <c r="K231" s="309">
        <f t="shared" si="43"/>
        <v>0</v>
      </c>
      <c r="L231" s="308">
        <f t="shared" si="44"/>
        <v>1130</v>
      </c>
      <c r="M231" s="326">
        <f>Données!AE231</f>
        <v>0</v>
      </c>
      <c r="N231" s="308">
        <v>0</v>
      </c>
      <c r="O231" s="303">
        <f t="shared" si="37"/>
        <v>565</v>
      </c>
      <c r="P231" s="308">
        <f t="shared" si="45"/>
        <v>1130</v>
      </c>
      <c r="Q231" s="309">
        <f t="shared" si="38"/>
        <v>16994.21982444407</v>
      </c>
      <c r="R231" s="308">
        <f t="shared" si="39"/>
        <v>37233.429659985042</v>
      </c>
      <c r="S231" s="302">
        <f t="shared" si="40"/>
        <v>27684.078561249804</v>
      </c>
      <c r="T231" s="303">
        <f t="shared" si="41"/>
        <v>0</v>
      </c>
      <c r="U231" s="327">
        <f t="shared" si="46"/>
        <v>81911.728045678916</v>
      </c>
    </row>
    <row r="232" spans="1:21" x14ac:dyDescent="0.25">
      <c r="A232" s="111">
        <f>Données!A232</f>
        <v>5792</v>
      </c>
      <c r="B232" s="112" t="str">
        <f>Données!B232</f>
        <v>Montpreveyres</v>
      </c>
      <c r="C232" s="307">
        <f>Données!C232</f>
        <v>670</v>
      </c>
      <c r="D232" s="303">
        <f t="shared" si="42"/>
        <v>670</v>
      </c>
      <c r="E232" s="303">
        <f t="shared" si="36"/>
        <v>0</v>
      </c>
      <c r="F232" s="308">
        <f t="shared" si="36"/>
        <v>0</v>
      </c>
      <c r="G232" s="302">
        <f t="shared" si="36"/>
        <v>0</v>
      </c>
      <c r="H232" s="303">
        <f t="shared" si="36"/>
        <v>0</v>
      </c>
      <c r="I232" s="308">
        <f t="shared" si="36"/>
        <v>0</v>
      </c>
      <c r="J232" s="308">
        <f t="shared" si="36"/>
        <v>0</v>
      </c>
      <c r="K232" s="309">
        <f t="shared" si="43"/>
        <v>0</v>
      </c>
      <c r="L232" s="308">
        <f t="shared" si="44"/>
        <v>1340</v>
      </c>
      <c r="M232" s="326">
        <f>Données!AE232</f>
        <v>0</v>
      </c>
      <c r="N232" s="308">
        <v>0</v>
      </c>
      <c r="O232" s="303">
        <f t="shared" si="37"/>
        <v>670</v>
      </c>
      <c r="P232" s="308">
        <f t="shared" si="45"/>
        <v>1340</v>
      </c>
      <c r="Q232" s="309">
        <f t="shared" si="38"/>
        <v>20152.437667924823</v>
      </c>
      <c r="R232" s="308">
        <f t="shared" si="39"/>
        <v>44152.916587946871</v>
      </c>
      <c r="S232" s="302">
        <f t="shared" si="40"/>
        <v>32828.90732042012</v>
      </c>
      <c r="T232" s="303">
        <f t="shared" si="41"/>
        <v>0</v>
      </c>
      <c r="U232" s="327">
        <f t="shared" si="46"/>
        <v>97134.261576291814</v>
      </c>
    </row>
    <row r="233" spans="1:21" x14ac:dyDescent="0.25">
      <c r="A233" s="111">
        <f>Données!A233</f>
        <v>5798</v>
      </c>
      <c r="B233" s="112" t="str">
        <f>Données!B233</f>
        <v>Ropraz</v>
      </c>
      <c r="C233" s="307">
        <f>Données!C233</f>
        <v>535</v>
      </c>
      <c r="D233" s="303">
        <f t="shared" si="42"/>
        <v>535</v>
      </c>
      <c r="E233" s="303">
        <f t="shared" si="36"/>
        <v>0</v>
      </c>
      <c r="F233" s="308">
        <f t="shared" si="36"/>
        <v>0</v>
      </c>
      <c r="G233" s="302">
        <f t="shared" si="36"/>
        <v>0</v>
      </c>
      <c r="H233" s="303">
        <f t="shared" si="36"/>
        <v>0</v>
      </c>
      <c r="I233" s="308">
        <f t="shared" si="36"/>
        <v>0</v>
      </c>
      <c r="J233" s="308">
        <f t="shared" si="36"/>
        <v>0</v>
      </c>
      <c r="K233" s="309">
        <f t="shared" si="43"/>
        <v>0</v>
      </c>
      <c r="L233" s="308">
        <f t="shared" si="44"/>
        <v>1070</v>
      </c>
      <c r="M233" s="326">
        <f>Données!AE233</f>
        <v>0</v>
      </c>
      <c r="N233" s="308">
        <v>0</v>
      </c>
      <c r="O233" s="303">
        <f t="shared" si="37"/>
        <v>535</v>
      </c>
      <c r="P233" s="308">
        <f t="shared" si="45"/>
        <v>1070</v>
      </c>
      <c r="Q233" s="309">
        <f t="shared" si="38"/>
        <v>16091.871869163851</v>
      </c>
      <c r="R233" s="308">
        <f t="shared" si="39"/>
        <v>35256.433394853098</v>
      </c>
      <c r="S233" s="302">
        <f t="shared" si="40"/>
        <v>26214.127487201142</v>
      </c>
      <c r="T233" s="303">
        <f t="shared" si="41"/>
        <v>0</v>
      </c>
      <c r="U233" s="327">
        <f t="shared" si="46"/>
        <v>77562.43275121809</v>
      </c>
    </row>
    <row r="234" spans="1:21" x14ac:dyDescent="0.25">
      <c r="A234" s="111">
        <f>Données!A234</f>
        <v>5799</v>
      </c>
      <c r="B234" s="112" t="str">
        <f>Données!B234</f>
        <v>Servion</v>
      </c>
      <c r="C234" s="307">
        <f>Données!C234</f>
        <v>2241</v>
      </c>
      <c r="D234" s="303">
        <f t="shared" si="42"/>
        <v>1000</v>
      </c>
      <c r="E234" s="303">
        <f t="shared" si="36"/>
        <v>1241</v>
      </c>
      <c r="F234" s="308">
        <f t="shared" si="36"/>
        <v>0</v>
      </c>
      <c r="G234" s="302">
        <f t="shared" si="36"/>
        <v>0</v>
      </c>
      <c r="H234" s="303">
        <f t="shared" si="36"/>
        <v>0</v>
      </c>
      <c r="I234" s="308">
        <f t="shared" si="36"/>
        <v>0</v>
      </c>
      <c r="J234" s="308">
        <f t="shared" si="36"/>
        <v>0</v>
      </c>
      <c r="K234" s="309">
        <f t="shared" si="43"/>
        <v>0</v>
      </c>
      <c r="L234" s="308">
        <f t="shared" si="44"/>
        <v>5723</v>
      </c>
      <c r="M234" s="326">
        <f>Données!AE234</f>
        <v>0</v>
      </c>
      <c r="N234" s="308">
        <v>0</v>
      </c>
      <c r="O234" s="303">
        <f t="shared" si="37"/>
        <v>2241</v>
      </c>
      <c r="P234" s="308">
        <f t="shared" si="45"/>
        <v>5723</v>
      </c>
      <c r="Q234" s="309">
        <f t="shared" si="38"/>
        <v>67405.392259432134</v>
      </c>
      <c r="R234" s="308">
        <f t="shared" si="39"/>
        <v>147681.6210053566</v>
      </c>
      <c r="S234" s="302">
        <f t="shared" si="40"/>
        <v>140208.8332796749</v>
      </c>
      <c r="T234" s="303">
        <f t="shared" si="41"/>
        <v>0</v>
      </c>
      <c r="U234" s="327">
        <f t="shared" si="46"/>
        <v>355295.84654446365</v>
      </c>
    </row>
    <row r="235" spans="1:21" x14ac:dyDescent="0.25">
      <c r="A235" s="111">
        <f>Données!A235</f>
        <v>5803</v>
      </c>
      <c r="B235" s="112" t="str">
        <f>Données!B235</f>
        <v>Vulliens</v>
      </c>
      <c r="C235" s="307">
        <f>Données!C235</f>
        <v>630</v>
      </c>
      <c r="D235" s="303">
        <f t="shared" si="42"/>
        <v>630</v>
      </c>
      <c r="E235" s="303">
        <f t="shared" si="36"/>
        <v>0</v>
      </c>
      <c r="F235" s="308">
        <f t="shared" si="36"/>
        <v>0</v>
      </c>
      <c r="G235" s="302">
        <f t="shared" si="36"/>
        <v>0</v>
      </c>
      <c r="H235" s="303">
        <f t="shared" si="36"/>
        <v>0</v>
      </c>
      <c r="I235" s="308">
        <f t="shared" si="36"/>
        <v>0</v>
      </c>
      <c r="J235" s="308">
        <f t="shared" si="36"/>
        <v>0</v>
      </c>
      <c r="K235" s="309">
        <f t="shared" si="43"/>
        <v>0</v>
      </c>
      <c r="L235" s="308">
        <f t="shared" si="44"/>
        <v>1260</v>
      </c>
      <c r="M235" s="326">
        <f>Données!AE235</f>
        <v>0</v>
      </c>
      <c r="N235" s="308">
        <v>0</v>
      </c>
      <c r="O235" s="303">
        <f t="shared" si="37"/>
        <v>630</v>
      </c>
      <c r="P235" s="308">
        <f t="shared" si="45"/>
        <v>1260</v>
      </c>
      <c r="Q235" s="309">
        <f t="shared" si="38"/>
        <v>18949.307060884537</v>
      </c>
      <c r="R235" s="308">
        <f t="shared" si="39"/>
        <v>41516.921567770936</v>
      </c>
      <c r="S235" s="302">
        <f t="shared" si="40"/>
        <v>30868.972555021905</v>
      </c>
      <c r="T235" s="303">
        <f t="shared" si="41"/>
        <v>0</v>
      </c>
      <c r="U235" s="327">
        <f t="shared" si="46"/>
        <v>91335.201183677375</v>
      </c>
    </row>
    <row r="236" spans="1:21" x14ac:dyDescent="0.25">
      <c r="A236" s="111">
        <f>Données!A236</f>
        <v>5804</v>
      </c>
      <c r="B236" s="112" t="str">
        <f>Données!B236</f>
        <v>Jorat-Menthue</v>
      </c>
      <c r="C236" s="307">
        <f>Données!C236</f>
        <v>1564</v>
      </c>
      <c r="D236" s="303">
        <f t="shared" si="42"/>
        <v>1000</v>
      </c>
      <c r="E236" s="303">
        <f t="shared" si="36"/>
        <v>564</v>
      </c>
      <c r="F236" s="308">
        <f t="shared" si="36"/>
        <v>0</v>
      </c>
      <c r="G236" s="302">
        <f t="shared" si="36"/>
        <v>0</v>
      </c>
      <c r="H236" s="303">
        <f t="shared" ref="E236:J278" si="47">IF($C236&lt;H$4,0,IF($C236&gt;H$5,H$5-H$4,$C236-H$4))</f>
        <v>0</v>
      </c>
      <c r="I236" s="308">
        <f t="shared" si="47"/>
        <v>0</v>
      </c>
      <c r="J236" s="308">
        <f t="shared" si="47"/>
        <v>0</v>
      </c>
      <c r="K236" s="309">
        <f t="shared" si="43"/>
        <v>0</v>
      </c>
      <c r="L236" s="308">
        <f t="shared" si="44"/>
        <v>3692</v>
      </c>
      <c r="M236" s="326">
        <f>Données!AE236</f>
        <v>0</v>
      </c>
      <c r="N236" s="308">
        <v>0</v>
      </c>
      <c r="O236" s="303">
        <f t="shared" si="37"/>
        <v>1564</v>
      </c>
      <c r="P236" s="308">
        <f t="shared" si="45"/>
        <v>3692</v>
      </c>
      <c r="Q236" s="309">
        <f t="shared" si="38"/>
        <v>47042.406735275261</v>
      </c>
      <c r="R236" s="308">
        <f t="shared" si="39"/>
        <v>103067.40528887896</v>
      </c>
      <c r="S236" s="302">
        <f t="shared" si="40"/>
        <v>90450.98942312767</v>
      </c>
      <c r="T236" s="303">
        <f t="shared" si="41"/>
        <v>0</v>
      </c>
      <c r="U236" s="327">
        <f t="shared" si="46"/>
        <v>240560.8014472819</v>
      </c>
    </row>
    <row r="237" spans="1:21" x14ac:dyDescent="0.25">
      <c r="A237" s="111">
        <f>Données!A237</f>
        <v>5805</v>
      </c>
      <c r="B237" s="112" t="str">
        <f>Données!B237</f>
        <v>Oron</v>
      </c>
      <c r="C237" s="307">
        <f>Données!C237</f>
        <v>6451</v>
      </c>
      <c r="D237" s="303">
        <f t="shared" si="42"/>
        <v>1000</v>
      </c>
      <c r="E237" s="303">
        <f t="shared" si="47"/>
        <v>2000</v>
      </c>
      <c r="F237" s="308">
        <f t="shared" si="47"/>
        <v>2000</v>
      </c>
      <c r="G237" s="302">
        <f t="shared" si="47"/>
        <v>1451</v>
      </c>
      <c r="H237" s="303">
        <f t="shared" si="47"/>
        <v>0</v>
      </c>
      <c r="I237" s="308">
        <f t="shared" si="47"/>
        <v>0</v>
      </c>
      <c r="J237" s="308">
        <f t="shared" si="47"/>
        <v>0</v>
      </c>
      <c r="K237" s="309">
        <f t="shared" si="43"/>
        <v>0</v>
      </c>
      <c r="L237" s="308">
        <f t="shared" si="44"/>
        <v>20804</v>
      </c>
      <c r="M237" s="326">
        <f>Données!AE237</f>
        <v>0</v>
      </c>
      <c r="N237" s="308">
        <v>0</v>
      </c>
      <c r="O237" s="303">
        <f t="shared" si="37"/>
        <v>6451</v>
      </c>
      <c r="P237" s="308">
        <f t="shared" si="45"/>
        <v>20804</v>
      </c>
      <c r="Q237" s="309">
        <f t="shared" si="38"/>
        <v>194034.88865042245</v>
      </c>
      <c r="R237" s="308">
        <f t="shared" si="39"/>
        <v>425120.09687887348</v>
      </c>
      <c r="S237" s="302">
        <f t="shared" si="40"/>
        <v>509681.03574180609</v>
      </c>
      <c r="T237" s="303">
        <f t="shared" si="41"/>
        <v>0</v>
      </c>
      <c r="U237" s="327">
        <f t="shared" si="46"/>
        <v>1128836.0212711019</v>
      </c>
    </row>
    <row r="238" spans="1:21" x14ac:dyDescent="0.25">
      <c r="A238" s="111">
        <f>Données!A238</f>
        <v>5806</v>
      </c>
      <c r="B238" s="112" t="str">
        <f>Données!B238</f>
        <v>Jorat-Mézières</v>
      </c>
      <c r="C238" s="307">
        <f>Données!C238</f>
        <v>3209</v>
      </c>
      <c r="D238" s="303">
        <f t="shared" si="42"/>
        <v>1000</v>
      </c>
      <c r="E238" s="303">
        <f t="shared" si="47"/>
        <v>2000</v>
      </c>
      <c r="F238" s="308">
        <f t="shared" si="47"/>
        <v>209</v>
      </c>
      <c r="G238" s="302">
        <f t="shared" si="47"/>
        <v>0</v>
      </c>
      <c r="H238" s="303">
        <f t="shared" si="47"/>
        <v>0</v>
      </c>
      <c r="I238" s="308">
        <f t="shared" si="47"/>
        <v>0</v>
      </c>
      <c r="J238" s="308">
        <f t="shared" si="47"/>
        <v>0</v>
      </c>
      <c r="K238" s="309">
        <f t="shared" si="43"/>
        <v>0</v>
      </c>
      <c r="L238" s="308">
        <f t="shared" si="44"/>
        <v>8731.5</v>
      </c>
      <c r="M238" s="326">
        <f>Données!AE238</f>
        <v>0</v>
      </c>
      <c r="N238" s="308">
        <v>0</v>
      </c>
      <c r="O238" s="303">
        <f t="shared" si="37"/>
        <v>3209</v>
      </c>
      <c r="P238" s="308">
        <f t="shared" si="45"/>
        <v>8731.5</v>
      </c>
      <c r="Q238" s="309">
        <f t="shared" si="38"/>
        <v>96521.152949807103</v>
      </c>
      <c r="R238" s="308">
        <f t="shared" si="39"/>
        <v>211472.70049361419</v>
      </c>
      <c r="S238" s="302">
        <f t="shared" si="40"/>
        <v>213914.63005093156</v>
      </c>
      <c r="T238" s="303">
        <f t="shared" si="41"/>
        <v>0</v>
      </c>
      <c r="U238" s="327">
        <f t="shared" si="46"/>
        <v>521908.4834943529</v>
      </c>
    </row>
    <row r="239" spans="1:21" x14ac:dyDescent="0.25">
      <c r="A239" s="111">
        <f>Données!A239</f>
        <v>5812</v>
      </c>
      <c r="B239" s="112" t="str">
        <f>Données!B239</f>
        <v>Champtauroz</v>
      </c>
      <c r="C239" s="307">
        <f>Données!C239</f>
        <v>184</v>
      </c>
      <c r="D239" s="303">
        <f t="shared" si="42"/>
        <v>184</v>
      </c>
      <c r="E239" s="303">
        <f t="shared" si="47"/>
        <v>0</v>
      </c>
      <c r="F239" s="308">
        <f t="shared" si="47"/>
        <v>0</v>
      </c>
      <c r="G239" s="302">
        <f t="shared" si="47"/>
        <v>0</v>
      </c>
      <c r="H239" s="303">
        <f t="shared" si="47"/>
        <v>0</v>
      </c>
      <c r="I239" s="308">
        <f t="shared" si="47"/>
        <v>0</v>
      </c>
      <c r="J239" s="308">
        <f t="shared" si="47"/>
        <v>0</v>
      </c>
      <c r="K239" s="309">
        <f t="shared" si="43"/>
        <v>0</v>
      </c>
      <c r="L239" s="308">
        <f t="shared" si="44"/>
        <v>368</v>
      </c>
      <c r="M239" s="326">
        <f>Données!AE239</f>
        <v>0</v>
      </c>
      <c r="N239" s="308">
        <v>0</v>
      </c>
      <c r="O239" s="303">
        <f t="shared" si="37"/>
        <v>184</v>
      </c>
      <c r="P239" s="308">
        <f t="shared" si="45"/>
        <v>368</v>
      </c>
      <c r="Q239" s="309">
        <f t="shared" si="38"/>
        <v>5534.4007923853251</v>
      </c>
      <c r="R239" s="308">
        <f t="shared" si="39"/>
        <v>12125.57709280929</v>
      </c>
      <c r="S239" s="302">
        <f t="shared" si="40"/>
        <v>9015.6999208317939</v>
      </c>
      <c r="T239" s="303">
        <f t="shared" si="41"/>
        <v>0</v>
      </c>
      <c r="U239" s="327">
        <f t="shared" si="46"/>
        <v>26675.677806026408</v>
      </c>
    </row>
    <row r="240" spans="1:21" x14ac:dyDescent="0.25">
      <c r="A240" s="111">
        <f>Données!A240</f>
        <v>5813</v>
      </c>
      <c r="B240" s="112" t="str">
        <f>Données!B240</f>
        <v>Chevroux</v>
      </c>
      <c r="C240" s="307">
        <f>Données!C240</f>
        <v>487</v>
      </c>
      <c r="D240" s="303">
        <f t="shared" si="42"/>
        <v>487</v>
      </c>
      <c r="E240" s="303">
        <f t="shared" si="47"/>
        <v>0</v>
      </c>
      <c r="F240" s="308">
        <f t="shared" si="47"/>
        <v>0</v>
      </c>
      <c r="G240" s="302">
        <f t="shared" si="47"/>
        <v>0</v>
      </c>
      <c r="H240" s="303">
        <f t="shared" si="47"/>
        <v>0</v>
      </c>
      <c r="I240" s="308">
        <f t="shared" si="47"/>
        <v>0</v>
      </c>
      <c r="J240" s="308">
        <f t="shared" si="47"/>
        <v>0</v>
      </c>
      <c r="K240" s="309">
        <f t="shared" si="43"/>
        <v>0</v>
      </c>
      <c r="L240" s="308">
        <f t="shared" si="44"/>
        <v>974</v>
      </c>
      <c r="M240" s="326">
        <f>Données!AE240</f>
        <v>0</v>
      </c>
      <c r="N240" s="308">
        <v>0</v>
      </c>
      <c r="O240" s="303">
        <f t="shared" si="37"/>
        <v>487</v>
      </c>
      <c r="P240" s="308">
        <f t="shared" si="45"/>
        <v>974</v>
      </c>
      <c r="Q240" s="309">
        <f t="shared" si="38"/>
        <v>14648.115140715507</v>
      </c>
      <c r="R240" s="308">
        <f t="shared" si="39"/>
        <v>32093.239370641975</v>
      </c>
      <c r="S240" s="302">
        <f t="shared" si="40"/>
        <v>23862.205768723281</v>
      </c>
      <c r="T240" s="303">
        <f t="shared" si="41"/>
        <v>0</v>
      </c>
      <c r="U240" s="327">
        <f t="shared" si="46"/>
        <v>70603.560280080768</v>
      </c>
    </row>
    <row r="241" spans="1:21" x14ac:dyDescent="0.25">
      <c r="A241" s="111">
        <f>Données!A241</f>
        <v>5816</v>
      </c>
      <c r="B241" s="112" t="str">
        <f>Données!B241</f>
        <v>Corcelles-près-Payerne</v>
      </c>
      <c r="C241" s="307">
        <f>Données!C241</f>
        <v>3129</v>
      </c>
      <c r="D241" s="303">
        <f t="shared" si="42"/>
        <v>1000</v>
      </c>
      <c r="E241" s="303">
        <f t="shared" si="47"/>
        <v>2000</v>
      </c>
      <c r="F241" s="308">
        <f t="shared" si="47"/>
        <v>129</v>
      </c>
      <c r="G241" s="302">
        <f t="shared" si="47"/>
        <v>0</v>
      </c>
      <c r="H241" s="303">
        <f t="shared" si="47"/>
        <v>0</v>
      </c>
      <c r="I241" s="308">
        <f t="shared" si="47"/>
        <v>0</v>
      </c>
      <c r="J241" s="308">
        <f t="shared" si="47"/>
        <v>0</v>
      </c>
      <c r="K241" s="309">
        <f t="shared" si="43"/>
        <v>0</v>
      </c>
      <c r="L241" s="308">
        <f t="shared" si="44"/>
        <v>8451.5</v>
      </c>
      <c r="M241" s="326">
        <f>Données!AE241</f>
        <v>0</v>
      </c>
      <c r="N241" s="308">
        <v>0</v>
      </c>
      <c r="O241" s="303">
        <f t="shared" si="37"/>
        <v>3129</v>
      </c>
      <c r="P241" s="308">
        <f t="shared" si="45"/>
        <v>8451.5</v>
      </c>
      <c r="Q241" s="309">
        <f t="shared" si="38"/>
        <v>94114.891735726531</v>
      </c>
      <c r="R241" s="308">
        <f t="shared" si="39"/>
        <v>206200.71045326232</v>
      </c>
      <c r="S241" s="302">
        <f t="shared" si="40"/>
        <v>207054.85837203779</v>
      </c>
      <c r="T241" s="303">
        <f t="shared" si="41"/>
        <v>0</v>
      </c>
      <c r="U241" s="327">
        <f t="shared" si="46"/>
        <v>507370.46056102659</v>
      </c>
    </row>
    <row r="242" spans="1:21" x14ac:dyDescent="0.25">
      <c r="A242" s="111">
        <f>Données!A242</f>
        <v>5817</v>
      </c>
      <c r="B242" s="112" t="str">
        <f>Données!B242</f>
        <v>Grandcour</v>
      </c>
      <c r="C242" s="307">
        <f>Données!C242</f>
        <v>970</v>
      </c>
      <c r="D242" s="303">
        <f t="shared" si="42"/>
        <v>970</v>
      </c>
      <c r="E242" s="303">
        <f t="shared" si="47"/>
        <v>0</v>
      </c>
      <c r="F242" s="308">
        <f t="shared" si="47"/>
        <v>0</v>
      </c>
      <c r="G242" s="302">
        <f t="shared" si="47"/>
        <v>0</v>
      </c>
      <c r="H242" s="303">
        <f t="shared" si="47"/>
        <v>0</v>
      </c>
      <c r="I242" s="308">
        <f t="shared" si="47"/>
        <v>0</v>
      </c>
      <c r="J242" s="308">
        <f t="shared" si="47"/>
        <v>0</v>
      </c>
      <c r="K242" s="309">
        <f t="shared" si="43"/>
        <v>0</v>
      </c>
      <c r="L242" s="308">
        <f t="shared" si="44"/>
        <v>1940</v>
      </c>
      <c r="M242" s="326">
        <f>Données!AE242</f>
        <v>0</v>
      </c>
      <c r="N242" s="308">
        <v>0</v>
      </c>
      <c r="O242" s="303">
        <f t="shared" si="37"/>
        <v>970</v>
      </c>
      <c r="P242" s="308">
        <f t="shared" si="45"/>
        <v>1940</v>
      </c>
      <c r="Q242" s="309">
        <f t="shared" si="38"/>
        <v>29175.917220726984</v>
      </c>
      <c r="R242" s="308">
        <f t="shared" si="39"/>
        <v>63922.87923926636</v>
      </c>
      <c r="S242" s="302">
        <f t="shared" si="40"/>
        <v>47528.418060906741</v>
      </c>
      <c r="T242" s="303">
        <f t="shared" si="41"/>
        <v>0</v>
      </c>
      <c r="U242" s="327">
        <f t="shared" si="46"/>
        <v>140627.2145209001</v>
      </c>
    </row>
    <row r="243" spans="1:21" x14ac:dyDescent="0.25">
      <c r="A243" s="111">
        <f>Données!A243</f>
        <v>5819</v>
      </c>
      <c r="B243" s="112" t="str">
        <f>Données!B243</f>
        <v>Henniez</v>
      </c>
      <c r="C243" s="307">
        <f>Données!C243</f>
        <v>464</v>
      </c>
      <c r="D243" s="303">
        <f t="shared" si="42"/>
        <v>464</v>
      </c>
      <c r="E243" s="303">
        <f t="shared" si="47"/>
        <v>0</v>
      </c>
      <c r="F243" s="308">
        <f t="shared" si="47"/>
        <v>0</v>
      </c>
      <c r="G243" s="302">
        <f t="shared" si="47"/>
        <v>0</v>
      </c>
      <c r="H243" s="303">
        <f t="shared" si="47"/>
        <v>0</v>
      </c>
      <c r="I243" s="308">
        <f t="shared" si="47"/>
        <v>0</v>
      </c>
      <c r="J243" s="308">
        <f t="shared" si="47"/>
        <v>0</v>
      </c>
      <c r="K243" s="309">
        <f t="shared" si="43"/>
        <v>0</v>
      </c>
      <c r="L243" s="308">
        <f t="shared" si="44"/>
        <v>928</v>
      </c>
      <c r="M243" s="326">
        <f>Données!AE243</f>
        <v>0</v>
      </c>
      <c r="N243" s="308">
        <v>0</v>
      </c>
      <c r="O243" s="303">
        <f t="shared" si="37"/>
        <v>464</v>
      </c>
      <c r="P243" s="308">
        <f t="shared" si="45"/>
        <v>928</v>
      </c>
      <c r="Q243" s="309">
        <f t="shared" si="38"/>
        <v>13956.315041667342</v>
      </c>
      <c r="R243" s="308">
        <f t="shared" si="39"/>
        <v>30577.542234040815</v>
      </c>
      <c r="S243" s="302">
        <f t="shared" si="40"/>
        <v>22735.243278619306</v>
      </c>
      <c r="T243" s="303">
        <f t="shared" si="41"/>
        <v>0</v>
      </c>
      <c r="U243" s="327">
        <f t="shared" si="46"/>
        <v>67269.100554327466</v>
      </c>
    </row>
    <row r="244" spans="1:21" x14ac:dyDescent="0.25">
      <c r="A244" s="111">
        <f>Données!A244</f>
        <v>5821</v>
      </c>
      <c r="B244" s="112" t="str">
        <f>Données!B244</f>
        <v>Missy</v>
      </c>
      <c r="C244" s="307">
        <f>Données!C244</f>
        <v>379</v>
      </c>
      <c r="D244" s="303">
        <f t="shared" si="42"/>
        <v>379</v>
      </c>
      <c r="E244" s="303">
        <f t="shared" si="47"/>
        <v>0</v>
      </c>
      <c r="F244" s="308">
        <f t="shared" si="47"/>
        <v>0</v>
      </c>
      <c r="G244" s="302">
        <f t="shared" si="47"/>
        <v>0</v>
      </c>
      <c r="H244" s="303">
        <f t="shared" si="47"/>
        <v>0</v>
      </c>
      <c r="I244" s="308">
        <f t="shared" si="47"/>
        <v>0</v>
      </c>
      <c r="J244" s="308">
        <f t="shared" si="47"/>
        <v>0</v>
      </c>
      <c r="K244" s="309">
        <f t="shared" si="43"/>
        <v>0</v>
      </c>
      <c r="L244" s="308">
        <f t="shared" si="44"/>
        <v>758</v>
      </c>
      <c r="M244" s="326">
        <f>Données!AE244</f>
        <v>0</v>
      </c>
      <c r="N244" s="308">
        <v>0</v>
      </c>
      <c r="O244" s="303">
        <f t="shared" si="37"/>
        <v>379</v>
      </c>
      <c r="P244" s="308">
        <f t="shared" si="45"/>
        <v>758</v>
      </c>
      <c r="Q244" s="309">
        <f t="shared" si="38"/>
        <v>11399.662501706729</v>
      </c>
      <c r="R244" s="308">
        <f t="shared" si="39"/>
        <v>24976.052816166961</v>
      </c>
      <c r="S244" s="302">
        <f t="shared" si="40"/>
        <v>18570.381902148099</v>
      </c>
      <c r="T244" s="303">
        <f t="shared" si="41"/>
        <v>0</v>
      </c>
      <c r="U244" s="327">
        <f t="shared" si="46"/>
        <v>54946.097220021795</v>
      </c>
    </row>
    <row r="245" spans="1:21" x14ac:dyDescent="0.25">
      <c r="A245" s="111">
        <f>Données!A245</f>
        <v>5822</v>
      </c>
      <c r="B245" s="112" t="str">
        <f>Données!B245</f>
        <v>Payerne</v>
      </c>
      <c r="C245" s="307">
        <f>Données!C245</f>
        <v>10972</v>
      </c>
      <c r="D245" s="303">
        <f t="shared" si="42"/>
        <v>1000</v>
      </c>
      <c r="E245" s="303">
        <f t="shared" si="47"/>
        <v>2000</v>
      </c>
      <c r="F245" s="308">
        <f t="shared" si="47"/>
        <v>2000</v>
      </c>
      <c r="G245" s="302">
        <f t="shared" si="47"/>
        <v>5972</v>
      </c>
      <c r="H245" s="303">
        <f t="shared" si="47"/>
        <v>0</v>
      </c>
      <c r="I245" s="308">
        <f t="shared" si="47"/>
        <v>0</v>
      </c>
      <c r="J245" s="308">
        <f t="shared" si="47"/>
        <v>0</v>
      </c>
      <c r="K245" s="309">
        <f t="shared" si="43"/>
        <v>0</v>
      </c>
      <c r="L245" s="308">
        <f t="shared" si="44"/>
        <v>38888</v>
      </c>
      <c r="M245" s="326">
        <f>Données!AE245</f>
        <v>0</v>
      </c>
      <c r="N245" s="308">
        <v>0</v>
      </c>
      <c r="O245" s="303">
        <f t="shared" si="37"/>
        <v>10972</v>
      </c>
      <c r="P245" s="308">
        <f t="shared" si="45"/>
        <v>38888</v>
      </c>
      <c r="Q245" s="309">
        <f t="shared" si="38"/>
        <v>330018.72551115102</v>
      </c>
      <c r="R245" s="308">
        <f t="shared" si="39"/>
        <v>723053.43403425824</v>
      </c>
      <c r="S245" s="302">
        <f t="shared" si="40"/>
        <v>952724.28946007288</v>
      </c>
      <c r="T245" s="303">
        <f t="shared" si="41"/>
        <v>0</v>
      </c>
      <c r="U245" s="327">
        <f t="shared" si="46"/>
        <v>2005796.4490054823</v>
      </c>
    </row>
    <row r="246" spans="1:21" x14ac:dyDescent="0.25">
      <c r="A246" s="111">
        <f>Données!A246</f>
        <v>5827</v>
      </c>
      <c r="B246" s="112" t="str">
        <f>Données!B246</f>
        <v>Trey</v>
      </c>
      <c r="C246" s="307">
        <f>Données!C246</f>
        <v>305</v>
      </c>
      <c r="D246" s="303">
        <f t="shared" si="42"/>
        <v>305</v>
      </c>
      <c r="E246" s="303">
        <f t="shared" si="47"/>
        <v>0</v>
      </c>
      <c r="F246" s="308">
        <f t="shared" si="47"/>
        <v>0</v>
      </c>
      <c r="G246" s="302">
        <f t="shared" si="47"/>
        <v>0</v>
      </c>
      <c r="H246" s="303">
        <f t="shared" si="47"/>
        <v>0</v>
      </c>
      <c r="I246" s="308">
        <f t="shared" si="47"/>
        <v>0</v>
      </c>
      <c r="J246" s="308">
        <f t="shared" si="47"/>
        <v>0</v>
      </c>
      <c r="K246" s="309">
        <f t="shared" si="43"/>
        <v>0</v>
      </c>
      <c r="L246" s="308">
        <f t="shared" si="44"/>
        <v>610</v>
      </c>
      <c r="M246" s="326">
        <f>Données!AE246</f>
        <v>0</v>
      </c>
      <c r="N246" s="308">
        <v>0</v>
      </c>
      <c r="O246" s="303">
        <f t="shared" si="37"/>
        <v>305</v>
      </c>
      <c r="P246" s="308">
        <f t="shared" si="45"/>
        <v>610</v>
      </c>
      <c r="Q246" s="309">
        <f t="shared" si="38"/>
        <v>9173.8708786821953</v>
      </c>
      <c r="R246" s="308">
        <f t="shared" si="39"/>
        <v>20099.462028841484</v>
      </c>
      <c r="S246" s="302">
        <f t="shared" si="40"/>
        <v>14944.502586161398</v>
      </c>
      <c r="T246" s="303">
        <f t="shared" si="41"/>
        <v>0</v>
      </c>
      <c r="U246" s="327">
        <f t="shared" si="46"/>
        <v>44217.835493685081</v>
      </c>
    </row>
    <row r="247" spans="1:21" x14ac:dyDescent="0.25">
      <c r="A247" s="111">
        <f>Données!A247</f>
        <v>5828</v>
      </c>
      <c r="B247" s="112" t="str">
        <f>Données!B247</f>
        <v>Treytorrens (Payerne)</v>
      </c>
      <c r="C247" s="307">
        <f>Données!C247</f>
        <v>108</v>
      </c>
      <c r="D247" s="303">
        <f t="shared" si="42"/>
        <v>108</v>
      </c>
      <c r="E247" s="303">
        <f t="shared" si="47"/>
        <v>0</v>
      </c>
      <c r="F247" s="308">
        <f t="shared" si="47"/>
        <v>0</v>
      </c>
      <c r="G247" s="302">
        <f t="shared" si="47"/>
        <v>0</v>
      </c>
      <c r="H247" s="303">
        <f t="shared" si="47"/>
        <v>0</v>
      </c>
      <c r="I247" s="308">
        <f t="shared" si="47"/>
        <v>0</v>
      </c>
      <c r="J247" s="308">
        <f t="shared" si="47"/>
        <v>0</v>
      </c>
      <c r="K247" s="309">
        <f t="shared" si="43"/>
        <v>0</v>
      </c>
      <c r="L247" s="308">
        <f t="shared" si="44"/>
        <v>216</v>
      </c>
      <c r="M247" s="326">
        <f>Données!AE247</f>
        <v>0</v>
      </c>
      <c r="N247" s="308">
        <v>0</v>
      </c>
      <c r="O247" s="303">
        <f t="shared" si="37"/>
        <v>108</v>
      </c>
      <c r="P247" s="308">
        <f t="shared" si="45"/>
        <v>216</v>
      </c>
      <c r="Q247" s="309">
        <f t="shared" si="38"/>
        <v>3248.4526390087776</v>
      </c>
      <c r="R247" s="308">
        <f t="shared" si="39"/>
        <v>7117.1865544750171</v>
      </c>
      <c r="S247" s="302">
        <f t="shared" si="40"/>
        <v>5291.8238665751833</v>
      </c>
      <c r="T247" s="303">
        <f t="shared" si="41"/>
        <v>0</v>
      </c>
      <c r="U247" s="327">
        <f t="shared" si="46"/>
        <v>15657.463060058979</v>
      </c>
    </row>
    <row r="248" spans="1:21" x14ac:dyDescent="0.25">
      <c r="A248" s="111">
        <f>Données!A248</f>
        <v>5830</v>
      </c>
      <c r="B248" s="112" t="str">
        <f>Données!B248</f>
        <v>Villarzel</v>
      </c>
      <c r="C248" s="307">
        <f>Données!C248</f>
        <v>522</v>
      </c>
      <c r="D248" s="303">
        <f t="shared" si="42"/>
        <v>522</v>
      </c>
      <c r="E248" s="303">
        <f t="shared" si="47"/>
        <v>0</v>
      </c>
      <c r="F248" s="308">
        <f t="shared" si="47"/>
        <v>0</v>
      </c>
      <c r="G248" s="302">
        <f t="shared" si="47"/>
        <v>0</v>
      </c>
      <c r="H248" s="303">
        <f t="shared" si="47"/>
        <v>0</v>
      </c>
      <c r="I248" s="308">
        <f t="shared" si="47"/>
        <v>0</v>
      </c>
      <c r="J248" s="308">
        <f t="shared" si="47"/>
        <v>0</v>
      </c>
      <c r="K248" s="309">
        <f t="shared" si="43"/>
        <v>0</v>
      </c>
      <c r="L248" s="308">
        <f t="shared" si="44"/>
        <v>1044</v>
      </c>
      <c r="M248" s="326">
        <f>Données!AE248</f>
        <v>0</v>
      </c>
      <c r="N248" s="308">
        <v>0</v>
      </c>
      <c r="O248" s="303">
        <f t="shared" si="37"/>
        <v>522</v>
      </c>
      <c r="P248" s="308">
        <f t="shared" si="45"/>
        <v>1044</v>
      </c>
      <c r="Q248" s="309">
        <f t="shared" si="38"/>
        <v>15700.854421875758</v>
      </c>
      <c r="R248" s="308">
        <f t="shared" si="39"/>
        <v>34399.735013295918</v>
      </c>
      <c r="S248" s="302">
        <f t="shared" si="40"/>
        <v>25577.148688446719</v>
      </c>
      <c r="T248" s="303">
        <f t="shared" si="41"/>
        <v>0</v>
      </c>
      <c r="U248" s="327">
        <f t="shared" si="46"/>
        <v>75677.738123618401</v>
      </c>
    </row>
    <row r="249" spans="1:21" x14ac:dyDescent="0.25">
      <c r="A249" s="111">
        <f>Données!A249</f>
        <v>5831</v>
      </c>
      <c r="B249" s="112" t="str">
        <f>Données!B249</f>
        <v>Valbroye</v>
      </c>
      <c r="C249" s="307">
        <f>Données!C249</f>
        <v>3416</v>
      </c>
      <c r="D249" s="303">
        <f t="shared" si="42"/>
        <v>1000</v>
      </c>
      <c r="E249" s="303">
        <f t="shared" si="47"/>
        <v>2000</v>
      </c>
      <c r="F249" s="308">
        <f t="shared" si="47"/>
        <v>416</v>
      </c>
      <c r="G249" s="302">
        <f t="shared" si="47"/>
        <v>0</v>
      </c>
      <c r="H249" s="303">
        <f t="shared" si="47"/>
        <v>0</v>
      </c>
      <c r="I249" s="308">
        <f t="shared" si="47"/>
        <v>0</v>
      </c>
      <c r="J249" s="308">
        <f t="shared" si="47"/>
        <v>0</v>
      </c>
      <c r="K249" s="309">
        <f t="shared" si="43"/>
        <v>0</v>
      </c>
      <c r="L249" s="308">
        <f t="shared" si="44"/>
        <v>9456</v>
      </c>
      <c r="M249" s="326">
        <f>Données!AE249</f>
        <v>0</v>
      </c>
      <c r="N249" s="308">
        <v>0</v>
      </c>
      <c r="O249" s="303">
        <f t="shared" si="37"/>
        <v>3416</v>
      </c>
      <c r="P249" s="308">
        <f t="shared" si="45"/>
        <v>9456</v>
      </c>
      <c r="Q249" s="309">
        <f t="shared" si="38"/>
        <v>102747.35384124059</v>
      </c>
      <c r="R249" s="308">
        <f t="shared" si="39"/>
        <v>225113.97472302461</v>
      </c>
      <c r="S249" s="302">
        <f t="shared" si="40"/>
        <v>231664.28927006916</v>
      </c>
      <c r="T249" s="303">
        <f t="shared" si="41"/>
        <v>0</v>
      </c>
      <c r="U249" s="327">
        <f t="shared" si="46"/>
        <v>559525.61783433438</v>
      </c>
    </row>
    <row r="250" spans="1:21" x14ac:dyDescent="0.25">
      <c r="A250" s="111">
        <f>Données!A250</f>
        <v>5841</v>
      </c>
      <c r="B250" s="112" t="str">
        <f>Données!B250</f>
        <v>Château-d'Oex</v>
      </c>
      <c r="C250" s="307">
        <f>Données!C250</f>
        <v>3689</v>
      </c>
      <c r="D250" s="303">
        <f t="shared" si="42"/>
        <v>1000</v>
      </c>
      <c r="E250" s="303">
        <f t="shared" si="47"/>
        <v>2000</v>
      </c>
      <c r="F250" s="308">
        <f t="shared" si="47"/>
        <v>689</v>
      </c>
      <c r="G250" s="302">
        <f t="shared" si="47"/>
        <v>0</v>
      </c>
      <c r="H250" s="303">
        <f t="shared" si="47"/>
        <v>0</v>
      </c>
      <c r="I250" s="308">
        <f t="shared" si="47"/>
        <v>0</v>
      </c>
      <c r="J250" s="308">
        <f t="shared" si="47"/>
        <v>0</v>
      </c>
      <c r="K250" s="309">
        <f t="shared" si="43"/>
        <v>0</v>
      </c>
      <c r="L250" s="308">
        <f t="shared" si="44"/>
        <v>10411.5</v>
      </c>
      <c r="M250" s="326">
        <f>Données!AE250</f>
        <v>0</v>
      </c>
      <c r="N250" s="308">
        <v>0</v>
      </c>
      <c r="O250" s="303">
        <f t="shared" si="37"/>
        <v>3689</v>
      </c>
      <c r="P250" s="308">
        <f t="shared" si="45"/>
        <v>10411.5</v>
      </c>
      <c r="Q250" s="309">
        <f t="shared" si="38"/>
        <v>110958.72023429057</v>
      </c>
      <c r="R250" s="308">
        <f t="shared" si="39"/>
        <v>243104.64073572538</v>
      </c>
      <c r="S250" s="302">
        <f t="shared" si="40"/>
        <v>255073.26012429409</v>
      </c>
      <c r="T250" s="303">
        <f t="shared" si="41"/>
        <v>0</v>
      </c>
      <c r="U250" s="327">
        <f t="shared" si="46"/>
        <v>609136.62109430996</v>
      </c>
    </row>
    <row r="251" spans="1:21" x14ac:dyDescent="0.25">
      <c r="A251" s="111">
        <f>Données!A251</f>
        <v>5842</v>
      </c>
      <c r="B251" s="112" t="str">
        <f>Données!B251</f>
        <v>Rossinière</v>
      </c>
      <c r="C251" s="307">
        <f>Données!C251</f>
        <v>504</v>
      </c>
      <c r="D251" s="303">
        <f t="shared" si="42"/>
        <v>504</v>
      </c>
      <c r="E251" s="303">
        <f t="shared" si="47"/>
        <v>0</v>
      </c>
      <c r="F251" s="308">
        <f t="shared" si="47"/>
        <v>0</v>
      </c>
      <c r="G251" s="302">
        <f t="shared" si="47"/>
        <v>0</v>
      </c>
      <c r="H251" s="303">
        <f t="shared" si="47"/>
        <v>0</v>
      </c>
      <c r="I251" s="308">
        <f t="shared" si="47"/>
        <v>0</v>
      </c>
      <c r="J251" s="308">
        <f t="shared" si="47"/>
        <v>0</v>
      </c>
      <c r="K251" s="309">
        <f t="shared" si="43"/>
        <v>0</v>
      </c>
      <c r="L251" s="308">
        <f t="shared" si="44"/>
        <v>1008</v>
      </c>
      <c r="M251" s="326">
        <f>Données!AE251</f>
        <v>0</v>
      </c>
      <c r="N251" s="308">
        <v>0</v>
      </c>
      <c r="O251" s="303">
        <f t="shared" si="37"/>
        <v>504</v>
      </c>
      <c r="P251" s="308">
        <f t="shared" si="45"/>
        <v>1008</v>
      </c>
      <c r="Q251" s="309">
        <f t="shared" si="38"/>
        <v>15159.44564870763</v>
      </c>
      <c r="R251" s="308">
        <f t="shared" si="39"/>
        <v>33213.537254216746</v>
      </c>
      <c r="S251" s="302">
        <f t="shared" si="40"/>
        <v>24695.178044017524</v>
      </c>
      <c r="T251" s="303">
        <f t="shared" si="41"/>
        <v>0</v>
      </c>
      <c r="U251" s="327">
        <f t="shared" si="46"/>
        <v>73068.160946941905</v>
      </c>
    </row>
    <row r="252" spans="1:21" x14ac:dyDescent="0.25">
      <c r="A252" s="111">
        <f>Données!A252</f>
        <v>5843</v>
      </c>
      <c r="B252" s="112" t="str">
        <f>Données!B252</f>
        <v>Rougemont</v>
      </c>
      <c r="C252" s="307">
        <f>Données!C252</f>
        <v>805</v>
      </c>
      <c r="D252" s="303">
        <f t="shared" si="42"/>
        <v>805</v>
      </c>
      <c r="E252" s="303">
        <f t="shared" si="47"/>
        <v>0</v>
      </c>
      <c r="F252" s="308">
        <f t="shared" si="47"/>
        <v>0</v>
      </c>
      <c r="G252" s="302">
        <f t="shared" si="47"/>
        <v>0</v>
      </c>
      <c r="H252" s="303">
        <f t="shared" si="47"/>
        <v>0</v>
      </c>
      <c r="I252" s="308">
        <f t="shared" si="47"/>
        <v>0</v>
      </c>
      <c r="J252" s="308">
        <f t="shared" si="47"/>
        <v>0</v>
      </c>
      <c r="K252" s="309">
        <f t="shared" si="43"/>
        <v>0</v>
      </c>
      <c r="L252" s="308">
        <f t="shared" si="44"/>
        <v>1610</v>
      </c>
      <c r="M252" s="326">
        <f>Données!AE252</f>
        <v>0</v>
      </c>
      <c r="N252" s="308">
        <v>0</v>
      </c>
      <c r="O252" s="303">
        <f t="shared" si="37"/>
        <v>805</v>
      </c>
      <c r="P252" s="308">
        <f t="shared" si="45"/>
        <v>1610</v>
      </c>
      <c r="Q252" s="309">
        <f t="shared" si="38"/>
        <v>24213.003466685797</v>
      </c>
      <c r="R252" s="308">
        <f t="shared" si="39"/>
        <v>53049.399781040636</v>
      </c>
      <c r="S252" s="302">
        <f t="shared" si="40"/>
        <v>39443.687153639097</v>
      </c>
      <c r="T252" s="303">
        <f t="shared" si="41"/>
        <v>0</v>
      </c>
      <c r="U252" s="327">
        <f t="shared" si="46"/>
        <v>116706.09040136554</v>
      </c>
    </row>
    <row r="253" spans="1:21" x14ac:dyDescent="0.25">
      <c r="A253" s="111">
        <f>Données!A253</f>
        <v>5851</v>
      </c>
      <c r="B253" s="112" t="str">
        <f>Données!B253</f>
        <v>Allaman</v>
      </c>
      <c r="C253" s="307">
        <f>Données!C253</f>
        <v>412</v>
      </c>
      <c r="D253" s="303">
        <f t="shared" si="42"/>
        <v>412</v>
      </c>
      <c r="E253" s="303">
        <f t="shared" si="47"/>
        <v>0</v>
      </c>
      <c r="F253" s="308">
        <f t="shared" si="47"/>
        <v>0</v>
      </c>
      <c r="G253" s="302">
        <f t="shared" si="47"/>
        <v>0</v>
      </c>
      <c r="H253" s="303">
        <f t="shared" si="47"/>
        <v>0</v>
      </c>
      <c r="I253" s="308">
        <f t="shared" si="47"/>
        <v>0</v>
      </c>
      <c r="J253" s="308">
        <f t="shared" si="47"/>
        <v>0</v>
      </c>
      <c r="K253" s="309">
        <f t="shared" si="43"/>
        <v>0</v>
      </c>
      <c r="L253" s="308">
        <f t="shared" si="44"/>
        <v>824</v>
      </c>
      <c r="M253" s="326">
        <f>Données!AE253</f>
        <v>0</v>
      </c>
      <c r="N253" s="308">
        <v>0</v>
      </c>
      <c r="O253" s="303">
        <f t="shared" si="37"/>
        <v>412</v>
      </c>
      <c r="P253" s="308">
        <f t="shared" si="45"/>
        <v>824</v>
      </c>
      <c r="Q253" s="309">
        <f t="shared" si="38"/>
        <v>12392.245252514966</v>
      </c>
      <c r="R253" s="308">
        <f t="shared" si="39"/>
        <v>27150.748707812105</v>
      </c>
      <c r="S253" s="302">
        <f t="shared" si="40"/>
        <v>20187.328083601627</v>
      </c>
      <c r="T253" s="303">
        <f t="shared" si="41"/>
        <v>0</v>
      </c>
      <c r="U253" s="327">
        <f t="shared" si="46"/>
        <v>59730.322043928696</v>
      </c>
    </row>
    <row r="254" spans="1:21" x14ac:dyDescent="0.25">
      <c r="A254" s="111">
        <f>Données!A254</f>
        <v>5852</v>
      </c>
      <c r="B254" s="112" t="str">
        <f>Données!B254</f>
        <v>Bursinel</v>
      </c>
      <c r="C254" s="307">
        <f>Données!C254</f>
        <v>535</v>
      </c>
      <c r="D254" s="303">
        <f t="shared" si="42"/>
        <v>535</v>
      </c>
      <c r="E254" s="303">
        <f t="shared" si="47"/>
        <v>0</v>
      </c>
      <c r="F254" s="308">
        <f t="shared" si="47"/>
        <v>0</v>
      </c>
      <c r="G254" s="302">
        <f t="shared" si="47"/>
        <v>0</v>
      </c>
      <c r="H254" s="303">
        <f t="shared" si="47"/>
        <v>0</v>
      </c>
      <c r="I254" s="308">
        <f t="shared" si="47"/>
        <v>0</v>
      </c>
      <c r="J254" s="308">
        <f t="shared" si="47"/>
        <v>0</v>
      </c>
      <c r="K254" s="309">
        <f t="shared" si="43"/>
        <v>0</v>
      </c>
      <c r="L254" s="308">
        <f t="shared" si="44"/>
        <v>1070</v>
      </c>
      <c r="M254" s="326">
        <f>Données!AE254</f>
        <v>0</v>
      </c>
      <c r="N254" s="308">
        <v>0</v>
      </c>
      <c r="O254" s="303">
        <f t="shared" si="37"/>
        <v>535</v>
      </c>
      <c r="P254" s="308">
        <f t="shared" si="45"/>
        <v>1070</v>
      </c>
      <c r="Q254" s="309">
        <f t="shared" si="38"/>
        <v>16091.871869163851</v>
      </c>
      <c r="R254" s="308">
        <f t="shared" si="39"/>
        <v>35256.433394853098</v>
      </c>
      <c r="S254" s="302">
        <f t="shared" si="40"/>
        <v>26214.127487201142</v>
      </c>
      <c r="T254" s="303">
        <f t="shared" si="41"/>
        <v>0</v>
      </c>
      <c r="U254" s="327">
        <f t="shared" si="46"/>
        <v>77562.43275121809</v>
      </c>
    </row>
    <row r="255" spans="1:21" x14ac:dyDescent="0.25">
      <c r="A255" s="111">
        <f>Données!A255</f>
        <v>5853</v>
      </c>
      <c r="B255" s="112" t="str">
        <f>Données!B255</f>
        <v>Bursins</v>
      </c>
      <c r="C255" s="307">
        <f>Données!C255</f>
        <v>831</v>
      </c>
      <c r="D255" s="303">
        <f t="shared" si="42"/>
        <v>831</v>
      </c>
      <c r="E255" s="303">
        <f t="shared" si="47"/>
        <v>0</v>
      </c>
      <c r="F255" s="308">
        <f t="shared" si="47"/>
        <v>0</v>
      </c>
      <c r="G255" s="302">
        <f t="shared" si="47"/>
        <v>0</v>
      </c>
      <c r="H255" s="303">
        <f t="shared" si="47"/>
        <v>0</v>
      </c>
      <c r="I255" s="308">
        <f t="shared" si="47"/>
        <v>0</v>
      </c>
      <c r="J255" s="308">
        <f t="shared" si="47"/>
        <v>0</v>
      </c>
      <c r="K255" s="309">
        <f t="shared" si="43"/>
        <v>0</v>
      </c>
      <c r="L255" s="308">
        <f t="shared" si="44"/>
        <v>1662</v>
      </c>
      <c r="M255" s="326">
        <f>Données!AE255</f>
        <v>0</v>
      </c>
      <c r="N255" s="308">
        <v>0</v>
      </c>
      <c r="O255" s="303">
        <f t="shared" si="37"/>
        <v>831</v>
      </c>
      <c r="P255" s="308">
        <f t="shared" si="45"/>
        <v>1662</v>
      </c>
      <c r="Q255" s="309">
        <f t="shared" si="38"/>
        <v>24995.038361261984</v>
      </c>
      <c r="R255" s="308">
        <f t="shared" si="39"/>
        <v>54762.796544154997</v>
      </c>
      <c r="S255" s="302">
        <f t="shared" si="40"/>
        <v>40717.644751147942</v>
      </c>
      <c r="T255" s="303">
        <f t="shared" si="41"/>
        <v>0</v>
      </c>
      <c r="U255" s="327">
        <f t="shared" si="46"/>
        <v>120475.47965656492</v>
      </c>
    </row>
    <row r="256" spans="1:21" x14ac:dyDescent="0.25">
      <c r="A256" s="111">
        <f>Données!A256</f>
        <v>5854</v>
      </c>
      <c r="B256" s="112" t="str">
        <f>Données!B256</f>
        <v>Burtigny</v>
      </c>
      <c r="C256" s="307">
        <f>Données!C256</f>
        <v>406</v>
      </c>
      <c r="D256" s="303">
        <f t="shared" si="42"/>
        <v>406</v>
      </c>
      <c r="E256" s="303">
        <f t="shared" si="47"/>
        <v>0</v>
      </c>
      <c r="F256" s="308">
        <f t="shared" si="47"/>
        <v>0</v>
      </c>
      <c r="G256" s="302">
        <f t="shared" si="47"/>
        <v>0</v>
      </c>
      <c r="H256" s="303">
        <f t="shared" si="47"/>
        <v>0</v>
      </c>
      <c r="I256" s="308">
        <f t="shared" si="47"/>
        <v>0</v>
      </c>
      <c r="J256" s="308">
        <f t="shared" si="47"/>
        <v>0</v>
      </c>
      <c r="K256" s="309">
        <f t="shared" si="43"/>
        <v>0</v>
      </c>
      <c r="L256" s="308">
        <f t="shared" si="44"/>
        <v>812</v>
      </c>
      <c r="M256" s="326">
        <f>Données!AE256</f>
        <v>0</v>
      </c>
      <c r="N256" s="308">
        <v>0</v>
      </c>
      <c r="O256" s="303">
        <f t="shared" si="37"/>
        <v>406</v>
      </c>
      <c r="P256" s="308">
        <f t="shared" si="45"/>
        <v>812</v>
      </c>
      <c r="Q256" s="309">
        <f t="shared" si="38"/>
        <v>12211.775661458923</v>
      </c>
      <c r="R256" s="308">
        <f t="shared" si="39"/>
        <v>26755.349454785715</v>
      </c>
      <c r="S256" s="302">
        <f t="shared" si="40"/>
        <v>19893.337868791892</v>
      </c>
      <c r="T256" s="303">
        <f t="shared" si="41"/>
        <v>0</v>
      </c>
      <c r="U256" s="327">
        <f t="shared" si="46"/>
        <v>58860.462985036531</v>
      </c>
    </row>
    <row r="257" spans="1:22" x14ac:dyDescent="0.25">
      <c r="A257" s="111">
        <f>Données!A257</f>
        <v>5855</v>
      </c>
      <c r="B257" s="112" t="str">
        <f>Données!B257</f>
        <v>Dully</v>
      </c>
      <c r="C257" s="307">
        <f>Données!C257</f>
        <v>637</v>
      </c>
      <c r="D257" s="303">
        <f t="shared" si="42"/>
        <v>637</v>
      </c>
      <c r="E257" s="303">
        <f t="shared" si="47"/>
        <v>0</v>
      </c>
      <c r="F257" s="308">
        <f t="shared" si="47"/>
        <v>0</v>
      </c>
      <c r="G257" s="302">
        <f t="shared" si="47"/>
        <v>0</v>
      </c>
      <c r="H257" s="303">
        <f t="shared" si="47"/>
        <v>0</v>
      </c>
      <c r="I257" s="308">
        <f t="shared" si="47"/>
        <v>0</v>
      </c>
      <c r="J257" s="308">
        <f t="shared" si="47"/>
        <v>0</v>
      </c>
      <c r="K257" s="309">
        <f t="shared" si="43"/>
        <v>0</v>
      </c>
      <c r="L257" s="308">
        <f t="shared" si="44"/>
        <v>1274</v>
      </c>
      <c r="M257" s="326">
        <f>Données!AE257</f>
        <v>0</v>
      </c>
      <c r="N257" s="308">
        <v>0</v>
      </c>
      <c r="O257" s="303">
        <f t="shared" si="37"/>
        <v>637</v>
      </c>
      <c r="P257" s="308">
        <f t="shared" si="45"/>
        <v>1274</v>
      </c>
      <c r="Q257" s="309">
        <f t="shared" si="38"/>
        <v>19159.854917116587</v>
      </c>
      <c r="R257" s="308">
        <f t="shared" si="39"/>
        <v>41978.220696301723</v>
      </c>
      <c r="S257" s="302">
        <f t="shared" si="40"/>
        <v>31211.961138966592</v>
      </c>
      <c r="T257" s="303">
        <f t="shared" si="41"/>
        <v>0</v>
      </c>
      <c r="U257" s="327">
        <f t="shared" si="46"/>
        <v>92350.036752384898</v>
      </c>
    </row>
    <row r="258" spans="1:22" x14ac:dyDescent="0.25">
      <c r="A258" s="111">
        <f>Données!A258</f>
        <v>5856</v>
      </c>
      <c r="B258" s="112" t="str">
        <f>Données!B258</f>
        <v>Essertines-sur-Rolle</v>
      </c>
      <c r="C258" s="307">
        <f>Données!C258</f>
        <v>770</v>
      </c>
      <c r="D258" s="303">
        <f t="shared" si="42"/>
        <v>770</v>
      </c>
      <c r="E258" s="303">
        <f t="shared" si="47"/>
        <v>0</v>
      </c>
      <c r="F258" s="308">
        <f t="shared" si="47"/>
        <v>0</v>
      </c>
      <c r="G258" s="302">
        <f t="shared" si="47"/>
        <v>0</v>
      </c>
      <c r="H258" s="303">
        <f t="shared" si="47"/>
        <v>0</v>
      </c>
      <c r="I258" s="308">
        <f t="shared" si="47"/>
        <v>0</v>
      </c>
      <c r="J258" s="308">
        <f t="shared" si="47"/>
        <v>0</v>
      </c>
      <c r="K258" s="309">
        <f t="shared" si="43"/>
        <v>0</v>
      </c>
      <c r="L258" s="308">
        <f t="shared" si="44"/>
        <v>1540</v>
      </c>
      <c r="M258" s="326">
        <f>Données!AE258</f>
        <v>0</v>
      </c>
      <c r="N258" s="308">
        <v>0</v>
      </c>
      <c r="O258" s="303">
        <f t="shared" si="37"/>
        <v>770</v>
      </c>
      <c r="P258" s="308">
        <f t="shared" si="45"/>
        <v>1540</v>
      </c>
      <c r="Q258" s="309">
        <f t="shared" si="38"/>
        <v>23160.264185525542</v>
      </c>
      <c r="R258" s="308">
        <f t="shared" si="39"/>
        <v>50742.904138386701</v>
      </c>
      <c r="S258" s="302">
        <f t="shared" si="40"/>
        <v>37728.744233915662</v>
      </c>
      <c r="T258" s="303">
        <f t="shared" si="41"/>
        <v>0</v>
      </c>
      <c r="U258" s="327">
        <f t="shared" si="46"/>
        <v>111631.91255782792</v>
      </c>
    </row>
    <row r="259" spans="1:22" x14ac:dyDescent="0.25">
      <c r="A259" s="111">
        <f>Données!A259</f>
        <v>5857</v>
      </c>
      <c r="B259" s="112" t="str">
        <f>Données!B259</f>
        <v>Gilly</v>
      </c>
      <c r="C259" s="307">
        <f>Données!C259</f>
        <v>1429</v>
      </c>
      <c r="D259" s="303">
        <f t="shared" si="42"/>
        <v>1000</v>
      </c>
      <c r="E259" s="303">
        <f t="shared" si="47"/>
        <v>429</v>
      </c>
      <c r="F259" s="308">
        <f t="shared" si="47"/>
        <v>0</v>
      </c>
      <c r="G259" s="302">
        <f t="shared" si="47"/>
        <v>0</v>
      </c>
      <c r="H259" s="303">
        <f t="shared" si="47"/>
        <v>0</v>
      </c>
      <c r="I259" s="308">
        <f t="shared" si="47"/>
        <v>0</v>
      </c>
      <c r="J259" s="308">
        <f t="shared" si="47"/>
        <v>0</v>
      </c>
      <c r="K259" s="309">
        <f t="shared" si="43"/>
        <v>0</v>
      </c>
      <c r="L259" s="308">
        <f t="shared" si="44"/>
        <v>3287</v>
      </c>
      <c r="M259" s="326">
        <f>Données!AE259</f>
        <v>0</v>
      </c>
      <c r="N259" s="308">
        <v>0</v>
      </c>
      <c r="O259" s="303">
        <f t="shared" si="37"/>
        <v>1429</v>
      </c>
      <c r="P259" s="308">
        <f t="shared" si="45"/>
        <v>3287</v>
      </c>
      <c r="Q259" s="309">
        <f t="shared" si="38"/>
        <v>42981.840936514287</v>
      </c>
      <c r="R259" s="308">
        <f t="shared" si="39"/>
        <v>94170.922095785179</v>
      </c>
      <c r="S259" s="302">
        <f t="shared" si="40"/>
        <v>80528.819673299207</v>
      </c>
      <c r="T259" s="303">
        <f t="shared" si="41"/>
        <v>0</v>
      </c>
      <c r="U259" s="327">
        <f t="shared" si="46"/>
        <v>217681.58270559867</v>
      </c>
    </row>
    <row r="260" spans="1:22" x14ac:dyDescent="0.25">
      <c r="A260" s="111">
        <f>Données!A260</f>
        <v>5858</v>
      </c>
      <c r="B260" s="112" t="str">
        <f>Données!B260</f>
        <v>Luins</v>
      </c>
      <c r="C260" s="307">
        <f>Données!C260</f>
        <v>640</v>
      </c>
      <c r="D260" s="303">
        <f t="shared" si="42"/>
        <v>640</v>
      </c>
      <c r="E260" s="303">
        <f t="shared" si="47"/>
        <v>0</v>
      </c>
      <c r="F260" s="308">
        <f t="shared" si="47"/>
        <v>0</v>
      </c>
      <c r="G260" s="302">
        <f t="shared" si="47"/>
        <v>0</v>
      </c>
      <c r="H260" s="303">
        <f t="shared" si="47"/>
        <v>0</v>
      </c>
      <c r="I260" s="308">
        <f t="shared" si="47"/>
        <v>0</v>
      </c>
      <c r="J260" s="308">
        <f t="shared" si="47"/>
        <v>0</v>
      </c>
      <c r="K260" s="309">
        <f t="shared" si="43"/>
        <v>0</v>
      </c>
      <c r="L260" s="308">
        <f t="shared" si="44"/>
        <v>1280</v>
      </c>
      <c r="M260" s="326">
        <f>Données!AE260</f>
        <v>0</v>
      </c>
      <c r="N260" s="308">
        <v>0</v>
      </c>
      <c r="O260" s="303">
        <f t="shared" si="37"/>
        <v>640</v>
      </c>
      <c r="P260" s="308">
        <f t="shared" si="45"/>
        <v>1280</v>
      </c>
      <c r="Q260" s="309">
        <f t="shared" si="38"/>
        <v>19250.089712644607</v>
      </c>
      <c r="R260" s="308">
        <f t="shared" si="39"/>
        <v>42175.92032281492</v>
      </c>
      <c r="S260" s="302">
        <f t="shared" si="40"/>
        <v>31358.956246371457</v>
      </c>
      <c r="T260" s="303">
        <f t="shared" si="41"/>
        <v>0</v>
      </c>
      <c r="U260" s="327">
        <f t="shared" si="46"/>
        <v>92784.966281830988</v>
      </c>
    </row>
    <row r="261" spans="1:22" x14ac:dyDescent="0.25">
      <c r="A261" s="111">
        <f>Données!A261</f>
        <v>5859</v>
      </c>
      <c r="B261" s="112" t="str">
        <f>Données!B261</f>
        <v>Mont-sur-Rolle</v>
      </c>
      <c r="C261" s="307">
        <f>Données!C261</f>
        <v>2759</v>
      </c>
      <c r="D261" s="303">
        <f t="shared" si="42"/>
        <v>1000</v>
      </c>
      <c r="E261" s="303">
        <f t="shared" si="47"/>
        <v>1759</v>
      </c>
      <c r="F261" s="308">
        <f t="shared" si="47"/>
        <v>0</v>
      </c>
      <c r="G261" s="302">
        <f t="shared" si="47"/>
        <v>0</v>
      </c>
      <c r="H261" s="303">
        <f t="shared" si="47"/>
        <v>0</v>
      </c>
      <c r="I261" s="308">
        <f t="shared" si="47"/>
        <v>0</v>
      </c>
      <c r="J261" s="308">
        <f t="shared" si="47"/>
        <v>0</v>
      </c>
      <c r="K261" s="309">
        <f t="shared" si="43"/>
        <v>0</v>
      </c>
      <c r="L261" s="308">
        <f t="shared" si="44"/>
        <v>7277</v>
      </c>
      <c r="M261" s="326">
        <f>Données!AE261</f>
        <v>0</v>
      </c>
      <c r="N261" s="308">
        <v>0</v>
      </c>
      <c r="O261" s="303">
        <f t="shared" si="37"/>
        <v>2759</v>
      </c>
      <c r="P261" s="308">
        <f t="shared" si="45"/>
        <v>7277</v>
      </c>
      <c r="Q261" s="309">
        <f t="shared" si="38"/>
        <v>82985.933620603872</v>
      </c>
      <c r="R261" s="308">
        <f t="shared" si="39"/>
        <v>181817.75651663492</v>
      </c>
      <c r="S261" s="302">
        <f t="shared" si="40"/>
        <v>178280.56609753522</v>
      </c>
      <c r="T261" s="303">
        <f t="shared" si="41"/>
        <v>0</v>
      </c>
      <c r="U261" s="327">
        <f t="shared" si="46"/>
        <v>443084.25623477402</v>
      </c>
    </row>
    <row r="262" spans="1:22" x14ac:dyDescent="0.25">
      <c r="A262" s="111">
        <f>Données!A262</f>
        <v>5860</v>
      </c>
      <c r="B262" s="112" t="str">
        <f>Données!B262</f>
        <v>Perroy</v>
      </c>
      <c r="C262" s="307">
        <f>Données!C262</f>
        <v>1573</v>
      </c>
      <c r="D262" s="303">
        <f t="shared" si="42"/>
        <v>1000</v>
      </c>
      <c r="E262" s="303">
        <f t="shared" si="47"/>
        <v>573</v>
      </c>
      <c r="F262" s="308">
        <f t="shared" si="47"/>
        <v>0</v>
      </c>
      <c r="G262" s="302">
        <f t="shared" si="47"/>
        <v>0</v>
      </c>
      <c r="H262" s="303">
        <f t="shared" si="47"/>
        <v>0</v>
      </c>
      <c r="I262" s="308">
        <f t="shared" si="47"/>
        <v>0</v>
      </c>
      <c r="J262" s="308">
        <f t="shared" si="47"/>
        <v>0</v>
      </c>
      <c r="K262" s="309">
        <f t="shared" si="43"/>
        <v>0</v>
      </c>
      <c r="L262" s="308">
        <f t="shared" si="44"/>
        <v>3719</v>
      </c>
      <c r="M262" s="326">
        <f>Données!AE262</f>
        <v>0</v>
      </c>
      <c r="N262" s="308">
        <v>0</v>
      </c>
      <c r="O262" s="303">
        <f t="shared" si="37"/>
        <v>1573</v>
      </c>
      <c r="P262" s="308">
        <f t="shared" si="45"/>
        <v>3719</v>
      </c>
      <c r="Q262" s="309">
        <f t="shared" si="38"/>
        <v>47313.111121859329</v>
      </c>
      <c r="R262" s="308">
        <f t="shared" si="39"/>
        <v>103660.50416841854</v>
      </c>
      <c r="S262" s="302">
        <f t="shared" si="40"/>
        <v>91112.467406449578</v>
      </c>
      <c r="T262" s="303">
        <f t="shared" si="41"/>
        <v>0</v>
      </c>
      <c r="U262" s="327">
        <f t="shared" si="46"/>
        <v>242086.08269672745</v>
      </c>
    </row>
    <row r="263" spans="1:22" x14ac:dyDescent="0.25">
      <c r="A263" s="111">
        <f>Données!A263</f>
        <v>5861</v>
      </c>
      <c r="B263" s="112" t="str">
        <f>Données!B263</f>
        <v>Rolle</v>
      </c>
      <c r="C263" s="307">
        <f>Données!C263</f>
        <v>6604</v>
      </c>
      <c r="D263" s="303">
        <f t="shared" si="42"/>
        <v>1000</v>
      </c>
      <c r="E263" s="303">
        <f t="shared" si="47"/>
        <v>2000</v>
      </c>
      <c r="F263" s="308">
        <f t="shared" si="47"/>
        <v>2000</v>
      </c>
      <c r="G263" s="302">
        <f t="shared" si="47"/>
        <v>1604</v>
      </c>
      <c r="H263" s="303">
        <f t="shared" si="47"/>
        <v>0</v>
      </c>
      <c r="I263" s="308">
        <f t="shared" si="47"/>
        <v>0</v>
      </c>
      <c r="J263" s="308">
        <f t="shared" si="47"/>
        <v>0</v>
      </c>
      <c r="K263" s="309">
        <f t="shared" si="43"/>
        <v>0</v>
      </c>
      <c r="L263" s="308">
        <f t="shared" si="44"/>
        <v>21416</v>
      </c>
      <c r="M263" s="326">
        <f>Données!AE263</f>
        <v>0</v>
      </c>
      <c r="N263" s="308">
        <v>0</v>
      </c>
      <c r="O263" s="303">
        <f t="shared" si="37"/>
        <v>6604</v>
      </c>
      <c r="P263" s="308">
        <f t="shared" si="45"/>
        <v>21416</v>
      </c>
      <c r="Q263" s="309">
        <f t="shared" si="38"/>
        <v>198636.86322235156</v>
      </c>
      <c r="R263" s="308">
        <f t="shared" si="39"/>
        <v>435202.77783104643</v>
      </c>
      <c r="S263" s="302">
        <f t="shared" si="40"/>
        <v>524674.53669710248</v>
      </c>
      <c r="T263" s="303">
        <f t="shared" si="41"/>
        <v>0</v>
      </c>
      <c r="U263" s="327">
        <f t="shared" si="46"/>
        <v>1158514.1777505004</v>
      </c>
    </row>
    <row r="264" spans="1:22" x14ac:dyDescent="0.25">
      <c r="A264" s="111">
        <f>Données!A264</f>
        <v>5862</v>
      </c>
      <c r="B264" s="112" t="str">
        <f>Données!B264</f>
        <v>Tartegnin</v>
      </c>
      <c r="C264" s="307">
        <f>Données!C264</f>
        <v>246</v>
      </c>
      <c r="D264" s="303">
        <f t="shared" si="42"/>
        <v>246</v>
      </c>
      <c r="E264" s="303">
        <f t="shared" si="47"/>
        <v>0</v>
      </c>
      <c r="F264" s="308">
        <f t="shared" si="47"/>
        <v>0</v>
      </c>
      <c r="G264" s="302">
        <f t="shared" si="47"/>
        <v>0</v>
      </c>
      <c r="H264" s="303">
        <f t="shared" si="47"/>
        <v>0</v>
      </c>
      <c r="I264" s="308">
        <f t="shared" si="47"/>
        <v>0</v>
      </c>
      <c r="J264" s="308">
        <f t="shared" si="47"/>
        <v>0</v>
      </c>
      <c r="K264" s="309">
        <f t="shared" si="43"/>
        <v>0</v>
      </c>
      <c r="L264" s="308">
        <f t="shared" si="44"/>
        <v>492</v>
      </c>
      <c r="M264" s="326">
        <f>Données!AE264</f>
        <v>0</v>
      </c>
      <c r="N264" s="308">
        <v>0</v>
      </c>
      <c r="O264" s="303">
        <f t="shared" ref="O264:O307" si="48">IF(N264=0,C264,0)</f>
        <v>246</v>
      </c>
      <c r="P264" s="308">
        <f t="shared" si="45"/>
        <v>492</v>
      </c>
      <c r="Q264" s="309">
        <f t="shared" ref="Q264:Q307" si="49">$Q$6/$C$308*C264</f>
        <v>7399.2532332977707</v>
      </c>
      <c r="R264" s="308">
        <f t="shared" ref="R264:R307" si="50">$R$6/$O$308*O264</f>
        <v>16211.369374081984</v>
      </c>
      <c r="S264" s="302">
        <f t="shared" ref="S264:S307" si="51">$S$6/$P$308*P264</f>
        <v>12053.598807199029</v>
      </c>
      <c r="T264" s="303">
        <f t="shared" ref="T264:T307" si="52">IF(M264&gt;N264,-R264-S264,IF(M264&lt;N264,C264*$R$311+L264*$S$311,IF(M264=N264,0,"Erreur")))</f>
        <v>0</v>
      </c>
      <c r="U264" s="327">
        <f t="shared" si="46"/>
        <v>35664.221414578788</v>
      </c>
    </row>
    <row r="265" spans="1:22" x14ac:dyDescent="0.25">
      <c r="A265" s="111">
        <f>Données!A265</f>
        <v>5863</v>
      </c>
      <c r="B265" s="112" t="str">
        <f>Données!B265</f>
        <v>Vinzel</v>
      </c>
      <c r="C265" s="307">
        <f>Données!C265</f>
        <v>385</v>
      </c>
      <c r="D265" s="303">
        <f t="shared" ref="D265:D307" si="53">IF(C265&gt;$D$5,$D$5-$D$4,C265)</f>
        <v>385</v>
      </c>
      <c r="E265" s="303">
        <f t="shared" si="47"/>
        <v>0</v>
      </c>
      <c r="F265" s="308">
        <f t="shared" si="47"/>
        <v>0</v>
      </c>
      <c r="G265" s="302">
        <f t="shared" si="47"/>
        <v>0</v>
      </c>
      <c r="H265" s="303">
        <f t="shared" si="47"/>
        <v>0</v>
      </c>
      <c r="I265" s="308">
        <f t="shared" si="47"/>
        <v>0</v>
      </c>
      <c r="J265" s="308">
        <f t="shared" si="47"/>
        <v>0</v>
      </c>
      <c r="K265" s="309">
        <f t="shared" ref="K265:K307" si="54">IF($C265&lt;K$4,0,$C265-K$4)</f>
        <v>0</v>
      </c>
      <c r="L265" s="308">
        <f t="shared" ref="L265:L307" si="55">SUMPRODUCT($D$6:$K$6,D265:K265)</f>
        <v>770</v>
      </c>
      <c r="M265" s="326">
        <f>Données!AE265</f>
        <v>0</v>
      </c>
      <c r="N265" s="308">
        <v>0</v>
      </c>
      <c r="O265" s="303">
        <f t="shared" si="48"/>
        <v>385</v>
      </c>
      <c r="P265" s="308">
        <f t="shared" ref="P265:P307" si="56">IF(N265=0,L265,0)</f>
        <v>770</v>
      </c>
      <c r="Q265" s="309">
        <f t="shared" si="49"/>
        <v>11580.132092762771</v>
      </c>
      <c r="R265" s="308">
        <f t="shared" si="50"/>
        <v>25371.45206919335</v>
      </c>
      <c r="S265" s="302">
        <f t="shared" si="51"/>
        <v>18864.372116957831</v>
      </c>
      <c r="T265" s="303">
        <f t="shared" si="52"/>
        <v>0</v>
      </c>
      <c r="U265" s="327">
        <f t="shared" ref="U265:U307" si="57">SUM(Q265:T265)</f>
        <v>55815.95627891396</v>
      </c>
    </row>
    <row r="266" spans="1:22" x14ac:dyDescent="0.25">
      <c r="A266" s="111">
        <f>Données!A266</f>
        <v>5871</v>
      </c>
      <c r="B266" s="112" t="str">
        <f>Données!B266</f>
        <v>L'Abbaye</v>
      </c>
      <c r="C266" s="307">
        <f>Données!C266</f>
        <v>1599</v>
      </c>
      <c r="D266" s="303">
        <f t="shared" si="53"/>
        <v>1000</v>
      </c>
      <c r="E266" s="303">
        <f t="shared" si="47"/>
        <v>599</v>
      </c>
      <c r="F266" s="308">
        <f t="shared" si="47"/>
        <v>0</v>
      </c>
      <c r="G266" s="302">
        <f t="shared" si="47"/>
        <v>0</v>
      </c>
      <c r="H266" s="303">
        <f t="shared" si="47"/>
        <v>0</v>
      </c>
      <c r="I266" s="308">
        <f t="shared" si="47"/>
        <v>0</v>
      </c>
      <c r="J266" s="308">
        <f t="shared" si="47"/>
        <v>0</v>
      </c>
      <c r="K266" s="309">
        <f t="shared" si="54"/>
        <v>0</v>
      </c>
      <c r="L266" s="308">
        <f t="shared" si="55"/>
        <v>3797</v>
      </c>
      <c r="M266" s="326">
        <f>Données!AE266</f>
        <v>0</v>
      </c>
      <c r="N266" s="308">
        <v>0</v>
      </c>
      <c r="O266" s="303">
        <f t="shared" si="48"/>
        <v>1599</v>
      </c>
      <c r="P266" s="308">
        <f t="shared" si="56"/>
        <v>3797</v>
      </c>
      <c r="Q266" s="309">
        <f t="shared" si="49"/>
        <v>48095.146016435516</v>
      </c>
      <c r="R266" s="308">
        <f t="shared" si="50"/>
        <v>105373.9009315329</v>
      </c>
      <c r="S266" s="302">
        <f t="shared" si="51"/>
        <v>93023.403802712841</v>
      </c>
      <c r="T266" s="303">
        <f t="shared" si="52"/>
        <v>0</v>
      </c>
      <c r="U266" s="327">
        <f t="shared" si="57"/>
        <v>246492.45075068128</v>
      </c>
    </row>
    <row r="267" spans="1:22" x14ac:dyDescent="0.25">
      <c r="A267" s="111">
        <f>Données!A267</f>
        <v>5872</v>
      </c>
      <c r="B267" s="112" t="str">
        <f>Données!B267</f>
        <v>Le Chenit</v>
      </c>
      <c r="C267" s="307">
        <f>Données!C267</f>
        <v>4792</v>
      </c>
      <c r="D267" s="303">
        <f t="shared" si="53"/>
        <v>1000</v>
      </c>
      <c r="E267" s="303">
        <f t="shared" si="47"/>
        <v>2000</v>
      </c>
      <c r="F267" s="308">
        <f t="shared" si="47"/>
        <v>1792</v>
      </c>
      <c r="G267" s="302">
        <f t="shared" si="47"/>
        <v>0</v>
      </c>
      <c r="H267" s="303">
        <f t="shared" si="47"/>
        <v>0</v>
      </c>
      <c r="I267" s="308">
        <f t="shared" si="47"/>
        <v>0</v>
      </c>
      <c r="J267" s="308">
        <f t="shared" si="47"/>
        <v>0</v>
      </c>
      <c r="K267" s="309">
        <f t="shared" si="54"/>
        <v>0</v>
      </c>
      <c r="L267" s="308">
        <f t="shared" si="55"/>
        <v>14272</v>
      </c>
      <c r="M267" s="326">
        <f>Données!AE267</f>
        <v>0</v>
      </c>
      <c r="N267" s="308">
        <v>0</v>
      </c>
      <c r="O267" s="303">
        <f t="shared" si="48"/>
        <v>4792</v>
      </c>
      <c r="P267" s="308">
        <f t="shared" si="56"/>
        <v>14272</v>
      </c>
      <c r="Q267" s="309">
        <f t="shared" si="49"/>
        <v>144135.04672342649</v>
      </c>
      <c r="R267" s="308">
        <f t="shared" si="50"/>
        <v>315792.20341707667</v>
      </c>
      <c r="S267" s="302">
        <f t="shared" si="51"/>
        <v>349652.36214704177</v>
      </c>
      <c r="T267" s="303">
        <f t="shared" si="52"/>
        <v>0</v>
      </c>
      <c r="U267" s="327">
        <f t="shared" si="57"/>
        <v>809579.61228754488</v>
      </c>
      <c r="V267" s="15"/>
    </row>
    <row r="268" spans="1:22" x14ac:dyDescent="0.25">
      <c r="A268" s="111">
        <f>Données!A268</f>
        <v>5873</v>
      </c>
      <c r="B268" s="112" t="str">
        <f>Données!B268</f>
        <v>Le Lieu</v>
      </c>
      <c r="C268" s="307">
        <f>Données!C268</f>
        <v>926</v>
      </c>
      <c r="D268" s="303">
        <f t="shared" si="53"/>
        <v>926</v>
      </c>
      <c r="E268" s="303">
        <f t="shared" si="47"/>
        <v>0</v>
      </c>
      <c r="F268" s="308">
        <f t="shared" si="47"/>
        <v>0</v>
      </c>
      <c r="G268" s="302">
        <f t="shared" si="47"/>
        <v>0</v>
      </c>
      <c r="H268" s="303">
        <f t="shared" si="47"/>
        <v>0</v>
      </c>
      <c r="I268" s="308">
        <f t="shared" si="47"/>
        <v>0</v>
      </c>
      <c r="J268" s="308">
        <f t="shared" si="47"/>
        <v>0</v>
      </c>
      <c r="K268" s="309">
        <f t="shared" si="54"/>
        <v>0</v>
      </c>
      <c r="L268" s="308">
        <f t="shared" si="55"/>
        <v>1852</v>
      </c>
      <c r="M268" s="326">
        <f>Données!AE268</f>
        <v>0</v>
      </c>
      <c r="N268" s="308">
        <v>0</v>
      </c>
      <c r="O268" s="303">
        <f t="shared" si="48"/>
        <v>926</v>
      </c>
      <c r="P268" s="308">
        <f t="shared" si="56"/>
        <v>1852</v>
      </c>
      <c r="Q268" s="309">
        <f t="shared" si="49"/>
        <v>27852.473552982668</v>
      </c>
      <c r="R268" s="308">
        <f t="shared" si="50"/>
        <v>61023.284717072835</v>
      </c>
      <c r="S268" s="302">
        <f t="shared" si="51"/>
        <v>45372.489818968701</v>
      </c>
      <c r="T268" s="303">
        <f t="shared" si="52"/>
        <v>0</v>
      </c>
      <c r="U268" s="327">
        <f t="shared" si="57"/>
        <v>134248.24808902422</v>
      </c>
    </row>
    <row r="269" spans="1:22" x14ac:dyDescent="0.25">
      <c r="A269" s="111">
        <f>Données!A269</f>
        <v>5882</v>
      </c>
      <c r="B269" s="112" t="str">
        <f>Données!B269</f>
        <v>Chardonne</v>
      </c>
      <c r="C269" s="307">
        <f>Données!C269</f>
        <v>3384</v>
      </c>
      <c r="D269" s="303">
        <f t="shared" si="53"/>
        <v>1000</v>
      </c>
      <c r="E269" s="303">
        <f t="shared" si="47"/>
        <v>2000</v>
      </c>
      <c r="F269" s="308">
        <f t="shared" si="47"/>
        <v>384</v>
      </c>
      <c r="G269" s="302">
        <f t="shared" si="47"/>
        <v>0</v>
      </c>
      <c r="H269" s="303">
        <f t="shared" si="47"/>
        <v>0</v>
      </c>
      <c r="I269" s="308">
        <f t="shared" si="47"/>
        <v>0</v>
      </c>
      <c r="J269" s="308">
        <f t="shared" si="47"/>
        <v>0</v>
      </c>
      <c r="K269" s="309">
        <f t="shared" si="54"/>
        <v>0</v>
      </c>
      <c r="L269" s="308">
        <f t="shared" si="55"/>
        <v>9344</v>
      </c>
      <c r="M269" s="326">
        <f>Données!AE269</f>
        <v>1</v>
      </c>
      <c r="N269" s="308">
        <v>1</v>
      </c>
      <c r="O269" s="303">
        <f t="shared" si="48"/>
        <v>0</v>
      </c>
      <c r="P269" s="308">
        <f t="shared" si="56"/>
        <v>0</v>
      </c>
      <c r="Q269" s="309">
        <f t="shared" si="49"/>
        <v>101784.84935560837</v>
      </c>
      <c r="R269" s="308">
        <f t="shared" si="50"/>
        <v>0</v>
      </c>
      <c r="S269" s="302">
        <f t="shared" si="51"/>
        <v>0</v>
      </c>
      <c r="T269" s="303">
        <f t="shared" si="52"/>
        <v>0</v>
      </c>
      <c r="U269" s="327">
        <f t="shared" si="57"/>
        <v>101784.84935560837</v>
      </c>
    </row>
    <row r="270" spans="1:22" x14ac:dyDescent="0.25">
      <c r="A270" s="111">
        <f>Données!A270</f>
        <v>5883</v>
      </c>
      <c r="B270" s="112" t="str">
        <f>Données!B270</f>
        <v>Corseaux</v>
      </c>
      <c r="C270" s="307">
        <f>Données!C270</f>
        <v>2326</v>
      </c>
      <c r="D270" s="303">
        <f t="shared" si="53"/>
        <v>1000</v>
      </c>
      <c r="E270" s="303">
        <f t="shared" si="47"/>
        <v>1326</v>
      </c>
      <c r="F270" s="308">
        <f t="shared" si="47"/>
        <v>0</v>
      </c>
      <c r="G270" s="302">
        <f t="shared" si="47"/>
        <v>0</v>
      </c>
      <c r="H270" s="303">
        <f t="shared" si="47"/>
        <v>0</v>
      </c>
      <c r="I270" s="308">
        <f t="shared" si="47"/>
        <v>0</v>
      </c>
      <c r="J270" s="308">
        <f t="shared" si="47"/>
        <v>0</v>
      </c>
      <c r="K270" s="309">
        <f t="shared" si="54"/>
        <v>0</v>
      </c>
      <c r="L270" s="308">
        <f t="shared" si="55"/>
        <v>5978</v>
      </c>
      <c r="M270" s="326">
        <f>Données!AE270</f>
        <v>1</v>
      </c>
      <c r="N270" s="308">
        <v>1</v>
      </c>
      <c r="O270" s="303">
        <f t="shared" si="48"/>
        <v>0</v>
      </c>
      <c r="P270" s="308">
        <f t="shared" si="56"/>
        <v>0</v>
      </c>
      <c r="Q270" s="309">
        <f t="shared" si="49"/>
        <v>69962.044799392752</v>
      </c>
      <c r="R270" s="308">
        <f t="shared" si="50"/>
        <v>0</v>
      </c>
      <c r="S270" s="302">
        <f t="shared" si="51"/>
        <v>0</v>
      </c>
      <c r="T270" s="303">
        <f t="shared" si="52"/>
        <v>0</v>
      </c>
      <c r="U270" s="327">
        <f t="shared" si="57"/>
        <v>69962.044799392752</v>
      </c>
    </row>
    <row r="271" spans="1:22" x14ac:dyDescent="0.25">
      <c r="A271" s="111">
        <f>Données!A271</f>
        <v>5884</v>
      </c>
      <c r="B271" s="112" t="str">
        <f>Données!B271</f>
        <v>Corsier-sur-Vevey</v>
      </c>
      <c r="C271" s="307">
        <f>Données!C271</f>
        <v>3458</v>
      </c>
      <c r="D271" s="303">
        <f t="shared" si="53"/>
        <v>1000</v>
      </c>
      <c r="E271" s="303">
        <f t="shared" si="47"/>
        <v>2000</v>
      </c>
      <c r="F271" s="308">
        <f t="shared" si="47"/>
        <v>458</v>
      </c>
      <c r="G271" s="302">
        <f t="shared" si="47"/>
        <v>0</v>
      </c>
      <c r="H271" s="303">
        <f t="shared" si="47"/>
        <v>0</v>
      </c>
      <c r="I271" s="308">
        <f t="shared" si="47"/>
        <v>0</v>
      </c>
      <c r="J271" s="308">
        <f t="shared" si="47"/>
        <v>0</v>
      </c>
      <c r="K271" s="309">
        <f t="shared" si="54"/>
        <v>0</v>
      </c>
      <c r="L271" s="308">
        <f t="shared" si="55"/>
        <v>9603</v>
      </c>
      <c r="M271" s="326">
        <f>Données!AE271</f>
        <v>1</v>
      </c>
      <c r="N271" s="308">
        <v>1</v>
      </c>
      <c r="O271" s="303">
        <f t="shared" si="48"/>
        <v>0</v>
      </c>
      <c r="P271" s="308">
        <f t="shared" si="56"/>
        <v>0</v>
      </c>
      <c r="Q271" s="309">
        <f t="shared" si="49"/>
        <v>104010.6409786329</v>
      </c>
      <c r="R271" s="308">
        <f t="shared" si="50"/>
        <v>0</v>
      </c>
      <c r="S271" s="302">
        <f t="shared" si="51"/>
        <v>0</v>
      </c>
      <c r="T271" s="303">
        <f t="shared" si="52"/>
        <v>0</v>
      </c>
      <c r="U271" s="327">
        <f t="shared" si="57"/>
        <v>104010.6409786329</v>
      </c>
    </row>
    <row r="272" spans="1:22" x14ac:dyDescent="0.25">
      <c r="A272" s="111">
        <f>Données!A272</f>
        <v>5885</v>
      </c>
      <c r="B272" s="112" t="str">
        <f>Données!B272</f>
        <v>Jongny</v>
      </c>
      <c r="C272" s="307">
        <f>Données!C272</f>
        <v>1917</v>
      </c>
      <c r="D272" s="303">
        <f t="shared" si="53"/>
        <v>1000</v>
      </c>
      <c r="E272" s="303">
        <f t="shared" si="47"/>
        <v>917</v>
      </c>
      <c r="F272" s="308">
        <f t="shared" si="47"/>
        <v>0</v>
      </c>
      <c r="G272" s="302">
        <f t="shared" si="47"/>
        <v>0</v>
      </c>
      <c r="H272" s="303">
        <f t="shared" si="47"/>
        <v>0</v>
      </c>
      <c r="I272" s="308">
        <f t="shared" si="47"/>
        <v>0</v>
      </c>
      <c r="J272" s="308">
        <f t="shared" si="47"/>
        <v>0</v>
      </c>
      <c r="K272" s="309">
        <f t="shared" si="54"/>
        <v>0</v>
      </c>
      <c r="L272" s="308">
        <f t="shared" si="55"/>
        <v>4751</v>
      </c>
      <c r="M272" s="326">
        <f>Données!AE272</f>
        <v>1</v>
      </c>
      <c r="N272" s="308">
        <v>1</v>
      </c>
      <c r="O272" s="303">
        <f t="shared" si="48"/>
        <v>0</v>
      </c>
      <c r="P272" s="308">
        <f t="shared" si="56"/>
        <v>0</v>
      </c>
      <c r="Q272" s="309">
        <f t="shared" si="49"/>
        <v>57660.034342405801</v>
      </c>
      <c r="R272" s="308">
        <f t="shared" si="50"/>
        <v>0</v>
      </c>
      <c r="S272" s="302">
        <f t="shared" si="51"/>
        <v>0</v>
      </c>
      <c r="T272" s="303">
        <f t="shared" si="52"/>
        <v>0</v>
      </c>
      <c r="U272" s="327">
        <f t="shared" si="57"/>
        <v>57660.034342405801</v>
      </c>
    </row>
    <row r="273" spans="1:21" x14ac:dyDescent="0.25">
      <c r="A273" s="111">
        <f>Données!A273</f>
        <v>5886</v>
      </c>
      <c r="B273" s="112" t="str">
        <f>Données!B273</f>
        <v>Montreux</v>
      </c>
      <c r="C273" s="307">
        <f>Données!C273</f>
        <v>27166</v>
      </c>
      <c r="D273" s="303">
        <f t="shared" si="53"/>
        <v>1000</v>
      </c>
      <c r="E273" s="303">
        <f t="shared" si="47"/>
        <v>2000</v>
      </c>
      <c r="F273" s="308">
        <f t="shared" si="47"/>
        <v>2000</v>
      </c>
      <c r="G273" s="302">
        <f t="shared" si="47"/>
        <v>7000</v>
      </c>
      <c r="H273" s="303">
        <f t="shared" si="47"/>
        <v>3000</v>
      </c>
      <c r="I273" s="308">
        <f t="shared" si="47"/>
        <v>12166</v>
      </c>
      <c r="J273" s="308">
        <f t="shared" si="47"/>
        <v>0</v>
      </c>
      <c r="K273" s="309">
        <f t="shared" si="54"/>
        <v>0</v>
      </c>
      <c r="L273" s="308">
        <f t="shared" si="55"/>
        <v>130996</v>
      </c>
      <c r="M273" s="326">
        <f>Données!AE273</f>
        <v>1</v>
      </c>
      <c r="N273" s="308">
        <v>1</v>
      </c>
      <c r="O273" s="303">
        <f t="shared" si="48"/>
        <v>0</v>
      </c>
      <c r="P273" s="308">
        <f t="shared" si="56"/>
        <v>0</v>
      </c>
      <c r="Q273" s="309">
        <f t="shared" si="49"/>
        <v>817106.15177141165</v>
      </c>
      <c r="R273" s="308">
        <f t="shared" si="50"/>
        <v>0</v>
      </c>
      <c r="S273" s="302">
        <f t="shared" si="51"/>
        <v>0</v>
      </c>
      <c r="T273" s="303">
        <f t="shared" si="52"/>
        <v>0</v>
      </c>
      <c r="U273" s="327">
        <f t="shared" si="57"/>
        <v>817106.15177141165</v>
      </c>
    </row>
    <row r="274" spans="1:21" x14ac:dyDescent="0.25">
      <c r="A274" s="111">
        <f>Données!A274</f>
        <v>5889</v>
      </c>
      <c r="B274" s="112" t="str">
        <f>Données!B274</f>
        <v>La Tour-de-Peilz</v>
      </c>
      <c r="C274" s="307">
        <f>Données!C274</f>
        <v>13053</v>
      </c>
      <c r="D274" s="303">
        <f t="shared" si="53"/>
        <v>1000</v>
      </c>
      <c r="E274" s="303">
        <f t="shared" si="47"/>
        <v>2000</v>
      </c>
      <c r="F274" s="308">
        <f t="shared" si="47"/>
        <v>2000</v>
      </c>
      <c r="G274" s="302">
        <f t="shared" si="47"/>
        <v>7000</v>
      </c>
      <c r="H274" s="303">
        <f t="shared" si="47"/>
        <v>1053</v>
      </c>
      <c r="I274" s="308">
        <f t="shared" si="47"/>
        <v>0</v>
      </c>
      <c r="J274" s="308">
        <f t="shared" si="47"/>
        <v>0</v>
      </c>
      <c r="K274" s="309">
        <f t="shared" si="54"/>
        <v>0</v>
      </c>
      <c r="L274" s="308">
        <f t="shared" si="55"/>
        <v>48265</v>
      </c>
      <c r="M274" s="326">
        <f>Données!AE274</f>
        <v>1</v>
      </c>
      <c r="N274" s="308">
        <v>1</v>
      </c>
      <c r="O274" s="303">
        <f t="shared" si="48"/>
        <v>0</v>
      </c>
      <c r="P274" s="308">
        <f t="shared" si="56"/>
        <v>0</v>
      </c>
      <c r="Q274" s="309">
        <f t="shared" si="49"/>
        <v>392611.59534242196</v>
      </c>
      <c r="R274" s="308">
        <f t="shared" si="50"/>
        <v>0</v>
      </c>
      <c r="S274" s="302">
        <f t="shared" si="51"/>
        <v>0</v>
      </c>
      <c r="T274" s="303">
        <f t="shared" si="52"/>
        <v>0</v>
      </c>
      <c r="U274" s="327">
        <f t="shared" si="57"/>
        <v>392611.59534242196</v>
      </c>
    </row>
    <row r="275" spans="1:21" x14ac:dyDescent="0.25">
      <c r="A275" s="111">
        <f>Données!A275</f>
        <v>5890</v>
      </c>
      <c r="B275" s="112" t="str">
        <f>Données!B275</f>
        <v>Vevey</v>
      </c>
      <c r="C275" s="307">
        <f>Données!C275</f>
        <v>20179</v>
      </c>
      <c r="D275" s="303">
        <f t="shared" si="53"/>
        <v>1000</v>
      </c>
      <c r="E275" s="303">
        <f t="shared" si="47"/>
        <v>2000</v>
      </c>
      <c r="F275" s="308">
        <f t="shared" si="47"/>
        <v>2000</v>
      </c>
      <c r="G275" s="302">
        <f t="shared" si="47"/>
        <v>7000</v>
      </c>
      <c r="H275" s="303">
        <f t="shared" si="47"/>
        <v>3000</v>
      </c>
      <c r="I275" s="308">
        <f t="shared" si="47"/>
        <v>5179</v>
      </c>
      <c r="J275" s="308">
        <f t="shared" si="47"/>
        <v>0</v>
      </c>
      <c r="K275" s="309">
        <f t="shared" si="54"/>
        <v>0</v>
      </c>
      <c r="L275" s="308">
        <f t="shared" si="55"/>
        <v>89074</v>
      </c>
      <c r="M275" s="326">
        <f>Données!AE275</f>
        <v>1</v>
      </c>
      <c r="N275" s="308">
        <v>1</v>
      </c>
      <c r="O275" s="303">
        <f t="shared" si="48"/>
        <v>0</v>
      </c>
      <c r="P275" s="308">
        <f t="shared" si="56"/>
        <v>0</v>
      </c>
      <c r="Q275" s="309">
        <f t="shared" si="49"/>
        <v>606949.31298664934</v>
      </c>
      <c r="R275" s="308">
        <f t="shared" si="50"/>
        <v>0</v>
      </c>
      <c r="S275" s="302">
        <f t="shared" si="51"/>
        <v>0</v>
      </c>
      <c r="T275" s="303">
        <f t="shared" si="52"/>
        <v>0</v>
      </c>
      <c r="U275" s="327">
        <f t="shared" si="57"/>
        <v>606949.31298664934</v>
      </c>
    </row>
    <row r="276" spans="1:21" x14ac:dyDescent="0.25">
      <c r="A276" s="111">
        <f>Données!A276</f>
        <v>5891</v>
      </c>
      <c r="B276" s="112" t="str">
        <f>Données!B276</f>
        <v>Veytaux</v>
      </c>
      <c r="C276" s="307">
        <f>Données!C276</f>
        <v>1008</v>
      </c>
      <c r="D276" s="303">
        <f t="shared" si="53"/>
        <v>1000</v>
      </c>
      <c r="E276" s="303">
        <f t="shared" si="47"/>
        <v>8</v>
      </c>
      <c r="F276" s="308">
        <f t="shared" si="47"/>
        <v>0</v>
      </c>
      <c r="G276" s="302">
        <f t="shared" si="47"/>
        <v>0</v>
      </c>
      <c r="H276" s="303">
        <f t="shared" si="47"/>
        <v>0</v>
      </c>
      <c r="I276" s="308">
        <f t="shared" si="47"/>
        <v>0</v>
      </c>
      <c r="J276" s="308">
        <f t="shared" si="47"/>
        <v>0</v>
      </c>
      <c r="K276" s="309">
        <f t="shared" si="54"/>
        <v>0</v>
      </c>
      <c r="L276" s="308">
        <f t="shared" si="55"/>
        <v>2024</v>
      </c>
      <c r="M276" s="326">
        <f>Données!AE276</f>
        <v>1</v>
      </c>
      <c r="N276" s="308">
        <v>1</v>
      </c>
      <c r="O276" s="303">
        <f t="shared" si="48"/>
        <v>0</v>
      </c>
      <c r="P276" s="308">
        <f t="shared" si="56"/>
        <v>0</v>
      </c>
      <c r="Q276" s="309">
        <f t="shared" si="49"/>
        <v>30318.891297415259</v>
      </c>
      <c r="R276" s="308">
        <f t="shared" si="50"/>
        <v>0</v>
      </c>
      <c r="S276" s="302">
        <f t="shared" si="51"/>
        <v>0</v>
      </c>
      <c r="T276" s="303">
        <f t="shared" si="52"/>
        <v>0</v>
      </c>
      <c r="U276" s="327">
        <f t="shared" si="57"/>
        <v>30318.891297415259</v>
      </c>
    </row>
    <row r="277" spans="1:21" x14ac:dyDescent="0.25">
      <c r="A277" s="111">
        <f>Données!A277</f>
        <v>5892</v>
      </c>
      <c r="B277" s="112" t="str">
        <f>Données!B277</f>
        <v>Blonay-Saint-Légier</v>
      </c>
      <c r="C277" s="307">
        <f>Données!C277</f>
        <v>12597</v>
      </c>
      <c r="D277" s="303">
        <f t="shared" si="53"/>
        <v>1000</v>
      </c>
      <c r="E277" s="303">
        <f t="shared" si="47"/>
        <v>2000</v>
      </c>
      <c r="F277" s="308">
        <f t="shared" si="47"/>
        <v>2000</v>
      </c>
      <c r="G277" s="302">
        <f t="shared" si="47"/>
        <v>7000</v>
      </c>
      <c r="H277" s="303">
        <f t="shared" si="47"/>
        <v>597</v>
      </c>
      <c r="I277" s="308">
        <f t="shared" si="47"/>
        <v>0</v>
      </c>
      <c r="J277" s="308">
        <f t="shared" si="47"/>
        <v>0</v>
      </c>
      <c r="K277" s="309">
        <f t="shared" si="54"/>
        <v>0</v>
      </c>
      <c r="L277" s="308">
        <f t="shared" si="55"/>
        <v>45985</v>
      </c>
      <c r="M277" s="326">
        <f>Données!AE277</f>
        <v>1</v>
      </c>
      <c r="N277" s="308">
        <v>1</v>
      </c>
      <c r="O277" s="303">
        <f t="shared" si="48"/>
        <v>0</v>
      </c>
      <c r="P277" s="308">
        <f t="shared" si="56"/>
        <v>0</v>
      </c>
      <c r="Q277" s="309">
        <f t="shared" si="49"/>
        <v>378895.90642216272</v>
      </c>
      <c r="R277" s="308">
        <f t="shared" si="50"/>
        <v>0</v>
      </c>
      <c r="S277" s="302">
        <f t="shared" si="51"/>
        <v>0</v>
      </c>
      <c r="T277" s="303">
        <f t="shared" si="52"/>
        <v>0</v>
      </c>
      <c r="U277" s="327">
        <f t="shared" si="57"/>
        <v>378895.90642216272</v>
      </c>
    </row>
    <row r="278" spans="1:21" x14ac:dyDescent="0.25">
      <c r="A278" s="111">
        <f>Données!A278</f>
        <v>5902</v>
      </c>
      <c r="B278" s="112" t="str">
        <f>Données!B278</f>
        <v>Belmont-sur-Yverdon</v>
      </c>
      <c r="C278" s="307">
        <f>Données!C278</f>
        <v>457</v>
      </c>
      <c r="D278" s="303">
        <f t="shared" si="53"/>
        <v>457</v>
      </c>
      <c r="E278" s="303">
        <f t="shared" si="47"/>
        <v>0</v>
      </c>
      <c r="F278" s="308">
        <f t="shared" si="47"/>
        <v>0</v>
      </c>
      <c r="G278" s="302">
        <f t="shared" si="47"/>
        <v>0</v>
      </c>
      <c r="H278" s="303">
        <f t="shared" si="47"/>
        <v>0</v>
      </c>
      <c r="I278" s="308">
        <f t="shared" si="47"/>
        <v>0</v>
      </c>
      <c r="J278" s="308">
        <f t="shared" si="47"/>
        <v>0</v>
      </c>
      <c r="K278" s="309">
        <f t="shared" si="54"/>
        <v>0</v>
      </c>
      <c r="L278" s="308">
        <f t="shared" si="55"/>
        <v>914</v>
      </c>
      <c r="M278" s="326">
        <f>Données!AE278</f>
        <v>0</v>
      </c>
      <c r="N278" s="308">
        <v>0</v>
      </c>
      <c r="O278" s="303">
        <f t="shared" si="48"/>
        <v>457</v>
      </c>
      <c r="P278" s="308">
        <f t="shared" si="56"/>
        <v>914</v>
      </c>
      <c r="Q278" s="309">
        <f t="shared" si="49"/>
        <v>13745.76718543529</v>
      </c>
      <c r="R278" s="308">
        <f t="shared" si="50"/>
        <v>30116.243105510028</v>
      </c>
      <c r="S278" s="302">
        <f t="shared" si="51"/>
        <v>22392.254694674619</v>
      </c>
      <c r="T278" s="303">
        <f t="shared" si="52"/>
        <v>0</v>
      </c>
      <c r="U278" s="327">
        <f t="shared" si="57"/>
        <v>66254.264985619942</v>
      </c>
    </row>
    <row r="279" spans="1:21" x14ac:dyDescent="0.25">
      <c r="A279" s="111">
        <f>Données!A279</f>
        <v>5903</v>
      </c>
      <c r="B279" s="112" t="str">
        <f>Données!B279</f>
        <v>Bioley-Magnoux</v>
      </c>
      <c r="C279" s="307">
        <f>Données!C279</f>
        <v>252</v>
      </c>
      <c r="D279" s="303">
        <f t="shared" si="53"/>
        <v>252</v>
      </c>
      <c r="E279" s="303">
        <f t="shared" ref="E279:J307" si="58">IF($C279&lt;E$4,0,IF($C279&gt;E$5,E$5-E$4,$C279-E$4))</f>
        <v>0</v>
      </c>
      <c r="F279" s="308">
        <f t="shared" si="58"/>
        <v>0</v>
      </c>
      <c r="G279" s="302">
        <f t="shared" si="58"/>
        <v>0</v>
      </c>
      <c r="H279" s="303">
        <f t="shared" si="58"/>
        <v>0</v>
      </c>
      <c r="I279" s="308">
        <f t="shared" si="58"/>
        <v>0</v>
      </c>
      <c r="J279" s="308">
        <f t="shared" si="58"/>
        <v>0</v>
      </c>
      <c r="K279" s="309">
        <f t="shared" si="54"/>
        <v>0</v>
      </c>
      <c r="L279" s="308">
        <f t="shared" si="55"/>
        <v>504</v>
      </c>
      <c r="M279" s="326">
        <f>Données!AE279</f>
        <v>0</v>
      </c>
      <c r="N279" s="308">
        <v>0</v>
      </c>
      <c r="O279" s="303">
        <f t="shared" si="48"/>
        <v>252</v>
      </c>
      <c r="P279" s="308">
        <f t="shared" si="56"/>
        <v>504</v>
      </c>
      <c r="Q279" s="309">
        <f t="shared" si="49"/>
        <v>7579.7228243538148</v>
      </c>
      <c r="R279" s="308">
        <f t="shared" si="50"/>
        <v>16606.768627108373</v>
      </c>
      <c r="S279" s="302">
        <f t="shared" si="51"/>
        <v>12347.589022008762</v>
      </c>
      <c r="T279" s="303">
        <f t="shared" si="52"/>
        <v>0</v>
      </c>
      <c r="U279" s="327">
        <f t="shared" si="57"/>
        <v>36534.080473470953</v>
      </c>
    </row>
    <row r="280" spans="1:21" x14ac:dyDescent="0.25">
      <c r="A280" s="111">
        <f>Données!A280</f>
        <v>5904</v>
      </c>
      <c r="B280" s="112" t="str">
        <f>Données!B280</f>
        <v>Chamblon</v>
      </c>
      <c r="C280" s="307">
        <f>Données!C280</f>
        <v>558</v>
      </c>
      <c r="D280" s="303">
        <f t="shared" si="53"/>
        <v>558</v>
      </c>
      <c r="E280" s="303">
        <f t="shared" si="58"/>
        <v>0</v>
      </c>
      <c r="F280" s="308">
        <f t="shared" si="58"/>
        <v>0</v>
      </c>
      <c r="G280" s="302">
        <f t="shared" si="58"/>
        <v>0</v>
      </c>
      <c r="H280" s="303">
        <f t="shared" si="58"/>
        <v>0</v>
      </c>
      <c r="I280" s="308">
        <f t="shared" si="58"/>
        <v>0</v>
      </c>
      <c r="J280" s="308">
        <f t="shared" si="58"/>
        <v>0</v>
      </c>
      <c r="K280" s="309">
        <f t="shared" si="54"/>
        <v>0</v>
      </c>
      <c r="L280" s="308">
        <f t="shared" si="55"/>
        <v>1116</v>
      </c>
      <c r="M280" s="326">
        <f>Données!AE280</f>
        <v>1</v>
      </c>
      <c r="N280" s="308">
        <v>1</v>
      </c>
      <c r="O280" s="303">
        <f t="shared" si="48"/>
        <v>0</v>
      </c>
      <c r="P280" s="308">
        <f t="shared" si="56"/>
        <v>0</v>
      </c>
      <c r="Q280" s="309">
        <f t="shared" si="49"/>
        <v>16783.671968212017</v>
      </c>
      <c r="R280" s="308">
        <f t="shared" si="50"/>
        <v>0</v>
      </c>
      <c r="S280" s="302">
        <f t="shared" si="51"/>
        <v>0</v>
      </c>
      <c r="T280" s="303">
        <f t="shared" si="52"/>
        <v>0</v>
      </c>
      <c r="U280" s="327">
        <f t="shared" si="57"/>
        <v>16783.671968212017</v>
      </c>
    </row>
    <row r="281" spans="1:21" x14ac:dyDescent="0.25">
      <c r="A281" s="111">
        <f>Données!A281</f>
        <v>5905</v>
      </c>
      <c r="B281" s="112" t="str">
        <f>Données!B281</f>
        <v>Champvent</v>
      </c>
      <c r="C281" s="307">
        <f>Données!C281</f>
        <v>692</v>
      </c>
      <c r="D281" s="303">
        <f t="shared" si="53"/>
        <v>692</v>
      </c>
      <c r="E281" s="303">
        <f t="shared" si="58"/>
        <v>0</v>
      </c>
      <c r="F281" s="308">
        <f t="shared" si="58"/>
        <v>0</v>
      </c>
      <c r="G281" s="302">
        <f t="shared" si="58"/>
        <v>0</v>
      </c>
      <c r="H281" s="303">
        <f t="shared" si="58"/>
        <v>0</v>
      </c>
      <c r="I281" s="308">
        <f t="shared" si="58"/>
        <v>0</v>
      </c>
      <c r="J281" s="308">
        <f t="shared" si="58"/>
        <v>0</v>
      </c>
      <c r="K281" s="309">
        <f t="shared" si="54"/>
        <v>0</v>
      </c>
      <c r="L281" s="308">
        <f t="shared" si="55"/>
        <v>1384</v>
      </c>
      <c r="M281" s="326">
        <f>Données!AE281</f>
        <v>0</v>
      </c>
      <c r="N281" s="308">
        <v>0</v>
      </c>
      <c r="O281" s="303">
        <f t="shared" si="48"/>
        <v>692</v>
      </c>
      <c r="P281" s="308">
        <f t="shared" si="56"/>
        <v>1384</v>
      </c>
      <c r="Q281" s="309">
        <f t="shared" si="49"/>
        <v>20814.159501796981</v>
      </c>
      <c r="R281" s="308">
        <f t="shared" si="50"/>
        <v>45602.713849043634</v>
      </c>
      <c r="S281" s="302">
        <f t="shared" si="51"/>
        <v>33906.871441389136</v>
      </c>
      <c r="T281" s="303">
        <f t="shared" si="52"/>
        <v>0</v>
      </c>
      <c r="U281" s="327">
        <f t="shared" si="57"/>
        <v>100323.74479222976</v>
      </c>
    </row>
    <row r="282" spans="1:21" x14ac:dyDescent="0.25">
      <c r="A282" s="111">
        <f>Données!A282</f>
        <v>5907</v>
      </c>
      <c r="B282" s="112" t="str">
        <f>Données!B282</f>
        <v>Chavannes-le-Chêne</v>
      </c>
      <c r="C282" s="307">
        <f>Données!C282</f>
        <v>329</v>
      </c>
      <c r="D282" s="303">
        <f t="shared" si="53"/>
        <v>329</v>
      </c>
      <c r="E282" s="303">
        <f t="shared" si="58"/>
        <v>0</v>
      </c>
      <c r="F282" s="308">
        <f t="shared" si="58"/>
        <v>0</v>
      </c>
      <c r="G282" s="302">
        <f t="shared" si="58"/>
        <v>0</v>
      </c>
      <c r="H282" s="303">
        <f t="shared" si="58"/>
        <v>0</v>
      </c>
      <c r="I282" s="308">
        <f t="shared" si="58"/>
        <v>0</v>
      </c>
      <c r="J282" s="308">
        <f t="shared" si="58"/>
        <v>0</v>
      </c>
      <c r="K282" s="309">
        <f t="shared" si="54"/>
        <v>0</v>
      </c>
      <c r="L282" s="308">
        <f t="shared" si="55"/>
        <v>658</v>
      </c>
      <c r="M282" s="326">
        <f>Données!AE282</f>
        <v>0</v>
      </c>
      <c r="N282" s="308">
        <v>0</v>
      </c>
      <c r="O282" s="303">
        <f t="shared" si="48"/>
        <v>329</v>
      </c>
      <c r="P282" s="308">
        <f t="shared" si="56"/>
        <v>658</v>
      </c>
      <c r="Q282" s="309">
        <f t="shared" si="49"/>
        <v>9895.7492429063695</v>
      </c>
      <c r="R282" s="308">
        <f t="shared" si="50"/>
        <v>21681.059040947042</v>
      </c>
      <c r="S282" s="302">
        <f t="shared" si="51"/>
        <v>16120.463445400328</v>
      </c>
      <c r="T282" s="303">
        <f t="shared" si="52"/>
        <v>0</v>
      </c>
      <c r="U282" s="327">
        <f t="shared" si="57"/>
        <v>47697.271729253742</v>
      </c>
    </row>
    <row r="283" spans="1:21" x14ac:dyDescent="0.25">
      <c r="A283" s="111">
        <f>Données!A283</f>
        <v>5908</v>
      </c>
      <c r="B283" s="112" t="str">
        <f>Données!B283</f>
        <v>Chêne-Pâquier</v>
      </c>
      <c r="C283" s="307">
        <f>Données!C283</f>
        <v>172</v>
      </c>
      <c r="D283" s="303">
        <f t="shared" si="53"/>
        <v>172</v>
      </c>
      <c r="E283" s="303">
        <f t="shared" si="58"/>
        <v>0</v>
      </c>
      <c r="F283" s="308">
        <f t="shared" si="58"/>
        <v>0</v>
      </c>
      <c r="G283" s="302">
        <f t="shared" si="58"/>
        <v>0</v>
      </c>
      <c r="H283" s="303">
        <f t="shared" si="58"/>
        <v>0</v>
      </c>
      <c r="I283" s="308">
        <f t="shared" si="58"/>
        <v>0</v>
      </c>
      <c r="J283" s="308">
        <f t="shared" si="58"/>
        <v>0</v>
      </c>
      <c r="K283" s="309">
        <f t="shared" si="54"/>
        <v>0</v>
      </c>
      <c r="L283" s="308">
        <f t="shared" si="55"/>
        <v>344</v>
      </c>
      <c r="M283" s="326">
        <f>Données!AE283</f>
        <v>0</v>
      </c>
      <c r="N283" s="308">
        <v>0</v>
      </c>
      <c r="O283" s="303">
        <f t="shared" si="48"/>
        <v>172</v>
      </c>
      <c r="P283" s="308">
        <f t="shared" si="56"/>
        <v>344</v>
      </c>
      <c r="Q283" s="309">
        <f t="shared" si="49"/>
        <v>5173.461610273238</v>
      </c>
      <c r="R283" s="308">
        <f t="shared" si="50"/>
        <v>11334.778586756509</v>
      </c>
      <c r="S283" s="302">
        <f t="shared" si="51"/>
        <v>8427.7194912123286</v>
      </c>
      <c r="T283" s="303">
        <f t="shared" si="52"/>
        <v>0</v>
      </c>
      <c r="U283" s="327">
        <f t="shared" si="57"/>
        <v>24935.959688242074</v>
      </c>
    </row>
    <row r="284" spans="1:21" x14ac:dyDescent="0.25">
      <c r="A284" s="111">
        <f>Données!A284</f>
        <v>5909</v>
      </c>
      <c r="B284" s="112" t="str">
        <f>Données!B284</f>
        <v>Cheseaux-Noréaz</v>
      </c>
      <c r="C284" s="307">
        <f>Données!C284</f>
        <v>745</v>
      </c>
      <c r="D284" s="303">
        <f t="shared" si="53"/>
        <v>745</v>
      </c>
      <c r="E284" s="303">
        <f t="shared" si="58"/>
        <v>0</v>
      </c>
      <c r="F284" s="308">
        <f t="shared" si="58"/>
        <v>0</v>
      </c>
      <c r="G284" s="302">
        <f t="shared" si="58"/>
        <v>0</v>
      </c>
      <c r="H284" s="303">
        <f t="shared" si="58"/>
        <v>0</v>
      </c>
      <c r="I284" s="308">
        <f t="shared" si="58"/>
        <v>0</v>
      </c>
      <c r="J284" s="308">
        <f t="shared" si="58"/>
        <v>0</v>
      </c>
      <c r="K284" s="309">
        <f t="shared" si="54"/>
        <v>0</v>
      </c>
      <c r="L284" s="308">
        <f t="shared" si="55"/>
        <v>1490</v>
      </c>
      <c r="M284" s="326">
        <f>Données!AE284</f>
        <v>1</v>
      </c>
      <c r="N284" s="308">
        <v>1</v>
      </c>
      <c r="O284" s="303">
        <f t="shared" si="48"/>
        <v>0</v>
      </c>
      <c r="P284" s="308">
        <f t="shared" si="56"/>
        <v>0</v>
      </c>
      <c r="Q284" s="309">
        <f t="shared" si="49"/>
        <v>22408.307556125364</v>
      </c>
      <c r="R284" s="308">
        <f t="shared" si="50"/>
        <v>0</v>
      </c>
      <c r="S284" s="302">
        <f t="shared" si="51"/>
        <v>0</v>
      </c>
      <c r="T284" s="303">
        <f t="shared" si="52"/>
        <v>0</v>
      </c>
      <c r="U284" s="327">
        <f t="shared" si="57"/>
        <v>22408.307556125364</v>
      </c>
    </row>
    <row r="285" spans="1:21" x14ac:dyDescent="0.25">
      <c r="A285" s="111">
        <f>Données!A285</f>
        <v>5910</v>
      </c>
      <c r="B285" s="112" t="str">
        <f>Données!B285</f>
        <v>Cronay</v>
      </c>
      <c r="C285" s="307">
        <f>Données!C285</f>
        <v>432</v>
      </c>
      <c r="D285" s="303">
        <f t="shared" si="53"/>
        <v>432</v>
      </c>
      <c r="E285" s="303">
        <f t="shared" si="58"/>
        <v>0</v>
      </c>
      <c r="F285" s="308">
        <f t="shared" si="58"/>
        <v>0</v>
      </c>
      <c r="G285" s="302">
        <f t="shared" si="58"/>
        <v>0</v>
      </c>
      <c r="H285" s="303">
        <f t="shared" si="58"/>
        <v>0</v>
      </c>
      <c r="I285" s="308">
        <f t="shared" si="58"/>
        <v>0</v>
      </c>
      <c r="J285" s="308">
        <f t="shared" si="58"/>
        <v>0</v>
      </c>
      <c r="K285" s="309">
        <f t="shared" si="54"/>
        <v>0</v>
      </c>
      <c r="L285" s="308">
        <f t="shared" si="55"/>
        <v>864</v>
      </c>
      <c r="M285" s="326">
        <f>Données!AE285</f>
        <v>0</v>
      </c>
      <c r="N285" s="308">
        <v>0</v>
      </c>
      <c r="O285" s="303">
        <f t="shared" si="48"/>
        <v>432</v>
      </c>
      <c r="P285" s="308">
        <f t="shared" si="56"/>
        <v>864</v>
      </c>
      <c r="Q285" s="309">
        <f t="shared" si="49"/>
        <v>12993.81055603511</v>
      </c>
      <c r="R285" s="308">
        <f t="shared" si="50"/>
        <v>28468.746217900069</v>
      </c>
      <c r="S285" s="302">
        <f t="shared" si="51"/>
        <v>21167.295466300733</v>
      </c>
      <c r="T285" s="303">
        <f t="shared" si="52"/>
        <v>0</v>
      </c>
      <c r="U285" s="327">
        <f t="shared" si="57"/>
        <v>62629.852240235916</v>
      </c>
    </row>
    <row r="286" spans="1:21" x14ac:dyDescent="0.25">
      <c r="A286" s="111">
        <f>Données!A286</f>
        <v>5911</v>
      </c>
      <c r="B286" s="112" t="str">
        <f>Données!B286</f>
        <v>Cuarny</v>
      </c>
      <c r="C286" s="307">
        <f>Données!C286</f>
        <v>244</v>
      </c>
      <c r="D286" s="303">
        <f t="shared" si="53"/>
        <v>244</v>
      </c>
      <c r="E286" s="303">
        <f t="shared" si="58"/>
        <v>0</v>
      </c>
      <c r="F286" s="308">
        <f t="shared" si="58"/>
        <v>0</v>
      </c>
      <c r="G286" s="302">
        <f t="shared" si="58"/>
        <v>0</v>
      </c>
      <c r="H286" s="303">
        <f t="shared" si="58"/>
        <v>0</v>
      </c>
      <c r="I286" s="308">
        <f t="shared" si="58"/>
        <v>0</v>
      </c>
      <c r="J286" s="308">
        <f t="shared" si="58"/>
        <v>0</v>
      </c>
      <c r="K286" s="309">
        <f t="shared" si="54"/>
        <v>0</v>
      </c>
      <c r="L286" s="308">
        <f t="shared" si="55"/>
        <v>488</v>
      </c>
      <c r="M286" s="326">
        <f>Données!AE286</f>
        <v>0</v>
      </c>
      <c r="N286" s="308">
        <v>0</v>
      </c>
      <c r="O286" s="303">
        <f t="shared" si="48"/>
        <v>244</v>
      </c>
      <c r="P286" s="308">
        <f t="shared" si="56"/>
        <v>488</v>
      </c>
      <c r="Q286" s="309">
        <f t="shared" si="49"/>
        <v>7339.096702945757</v>
      </c>
      <c r="R286" s="308">
        <f t="shared" si="50"/>
        <v>16079.569623073188</v>
      </c>
      <c r="S286" s="302">
        <f t="shared" si="51"/>
        <v>11955.602068929118</v>
      </c>
      <c r="T286" s="303">
        <f t="shared" si="52"/>
        <v>0</v>
      </c>
      <c r="U286" s="327">
        <f t="shared" si="57"/>
        <v>35374.268394948063</v>
      </c>
    </row>
    <row r="287" spans="1:21" x14ac:dyDescent="0.25">
      <c r="A287" s="111">
        <f>Données!A287</f>
        <v>5912</v>
      </c>
      <c r="B287" s="112" t="str">
        <f>Données!B287</f>
        <v>Démoret</v>
      </c>
      <c r="C287" s="307">
        <f>Données!C287</f>
        <v>181</v>
      </c>
      <c r="D287" s="303">
        <f t="shared" si="53"/>
        <v>181</v>
      </c>
      <c r="E287" s="303">
        <f t="shared" si="58"/>
        <v>0</v>
      </c>
      <c r="F287" s="308">
        <f t="shared" si="58"/>
        <v>0</v>
      </c>
      <c r="G287" s="302">
        <f t="shared" si="58"/>
        <v>0</v>
      </c>
      <c r="H287" s="303">
        <f t="shared" si="58"/>
        <v>0</v>
      </c>
      <c r="I287" s="308">
        <f t="shared" si="58"/>
        <v>0</v>
      </c>
      <c r="J287" s="308">
        <f t="shared" si="58"/>
        <v>0</v>
      </c>
      <c r="K287" s="309">
        <f t="shared" si="54"/>
        <v>0</v>
      </c>
      <c r="L287" s="308">
        <f t="shared" si="55"/>
        <v>362</v>
      </c>
      <c r="M287" s="326">
        <f>Données!AE287</f>
        <v>0</v>
      </c>
      <c r="N287" s="308">
        <v>0</v>
      </c>
      <c r="O287" s="303">
        <f t="shared" si="48"/>
        <v>181</v>
      </c>
      <c r="P287" s="308">
        <f t="shared" si="56"/>
        <v>362</v>
      </c>
      <c r="Q287" s="309">
        <f t="shared" si="49"/>
        <v>5444.1659968573031</v>
      </c>
      <c r="R287" s="308">
        <f t="shared" si="50"/>
        <v>11927.877466296093</v>
      </c>
      <c r="S287" s="302">
        <f t="shared" si="51"/>
        <v>8868.704813426928</v>
      </c>
      <c r="T287" s="303">
        <f t="shared" si="52"/>
        <v>0</v>
      </c>
      <c r="U287" s="327">
        <f t="shared" si="57"/>
        <v>26240.748276580325</v>
      </c>
    </row>
    <row r="288" spans="1:21" x14ac:dyDescent="0.25">
      <c r="A288" s="111">
        <f>Données!A288</f>
        <v>5913</v>
      </c>
      <c r="B288" s="112" t="str">
        <f>Données!B288</f>
        <v>Donneloye</v>
      </c>
      <c r="C288" s="307">
        <f>Données!C288</f>
        <v>905</v>
      </c>
      <c r="D288" s="303">
        <f t="shared" si="53"/>
        <v>905</v>
      </c>
      <c r="E288" s="303">
        <f t="shared" si="58"/>
        <v>0</v>
      </c>
      <c r="F288" s="308">
        <f t="shared" si="58"/>
        <v>0</v>
      </c>
      <c r="G288" s="302">
        <f t="shared" si="58"/>
        <v>0</v>
      </c>
      <c r="H288" s="303">
        <f t="shared" si="58"/>
        <v>0</v>
      </c>
      <c r="I288" s="308">
        <f t="shared" si="58"/>
        <v>0</v>
      </c>
      <c r="J288" s="308">
        <f t="shared" si="58"/>
        <v>0</v>
      </c>
      <c r="K288" s="309">
        <f t="shared" si="54"/>
        <v>0</v>
      </c>
      <c r="L288" s="308">
        <f t="shared" si="55"/>
        <v>1810</v>
      </c>
      <c r="M288" s="326">
        <f>Données!AE288</f>
        <v>0</v>
      </c>
      <c r="N288" s="308">
        <v>0</v>
      </c>
      <c r="O288" s="303">
        <f t="shared" si="48"/>
        <v>905</v>
      </c>
      <c r="P288" s="308">
        <f t="shared" si="56"/>
        <v>1810</v>
      </c>
      <c r="Q288" s="309">
        <f t="shared" si="49"/>
        <v>27220.829984286516</v>
      </c>
      <c r="R288" s="308">
        <f t="shared" si="50"/>
        <v>59639.387331480473</v>
      </c>
      <c r="S288" s="302">
        <f t="shared" si="51"/>
        <v>44343.52406713464</v>
      </c>
      <c r="T288" s="303">
        <f t="shared" si="52"/>
        <v>0</v>
      </c>
      <c r="U288" s="327">
        <f t="shared" si="57"/>
        <v>131203.74138290161</v>
      </c>
    </row>
    <row r="289" spans="1:21" x14ac:dyDescent="0.25">
      <c r="A289" s="111">
        <f>Données!A289</f>
        <v>5914</v>
      </c>
      <c r="B289" s="112" t="str">
        <f>Données!B289</f>
        <v>Ependes</v>
      </c>
      <c r="C289" s="307">
        <f>Données!C289</f>
        <v>376</v>
      </c>
      <c r="D289" s="303">
        <f t="shared" si="53"/>
        <v>376</v>
      </c>
      <c r="E289" s="303">
        <f t="shared" si="58"/>
        <v>0</v>
      </c>
      <c r="F289" s="308">
        <f t="shared" si="58"/>
        <v>0</v>
      </c>
      <c r="G289" s="302">
        <f t="shared" si="58"/>
        <v>0</v>
      </c>
      <c r="H289" s="303">
        <f t="shared" si="58"/>
        <v>0</v>
      </c>
      <c r="I289" s="308">
        <f t="shared" si="58"/>
        <v>0</v>
      </c>
      <c r="J289" s="308">
        <f t="shared" si="58"/>
        <v>0</v>
      </c>
      <c r="K289" s="309">
        <f t="shared" si="54"/>
        <v>0</v>
      </c>
      <c r="L289" s="308">
        <f t="shared" si="55"/>
        <v>752</v>
      </c>
      <c r="M289" s="326">
        <f>Données!AE289</f>
        <v>1</v>
      </c>
      <c r="N289" s="308">
        <v>1</v>
      </c>
      <c r="O289" s="303">
        <f t="shared" si="48"/>
        <v>0</v>
      </c>
      <c r="P289" s="308">
        <f t="shared" si="56"/>
        <v>0</v>
      </c>
      <c r="Q289" s="309">
        <f t="shared" si="49"/>
        <v>11309.427706178707</v>
      </c>
      <c r="R289" s="308">
        <f t="shared" si="50"/>
        <v>0</v>
      </c>
      <c r="S289" s="302">
        <f t="shared" si="51"/>
        <v>0</v>
      </c>
      <c r="T289" s="303">
        <f t="shared" si="52"/>
        <v>0</v>
      </c>
      <c r="U289" s="327">
        <f t="shared" si="57"/>
        <v>11309.427706178707</v>
      </c>
    </row>
    <row r="290" spans="1:21" x14ac:dyDescent="0.25">
      <c r="A290" s="111">
        <f>Données!A290</f>
        <v>5919</v>
      </c>
      <c r="B290" s="112" t="str">
        <f>Données!B290</f>
        <v>Mathod</v>
      </c>
      <c r="C290" s="307">
        <f>Données!C290</f>
        <v>740</v>
      </c>
      <c r="D290" s="303">
        <f t="shared" si="53"/>
        <v>740</v>
      </c>
      <c r="E290" s="303">
        <f t="shared" si="58"/>
        <v>0</v>
      </c>
      <c r="F290" s="308">
        <f t="shared" si="58"/>
        <v>0</v>
      </c>
      <c r="G290" s="302">
        <f t="shared" si="58"/>
        <v>0</v>
      </c>
      <c r="H290" s="303">
        <f t="shared" si="58"/>
        <v>0</v>
      </c>
      <c r="I290" s="308">
        <f t="shared" si="58"/>
        <v>0</v>
      </c>
      <c r="J290" s="308">
        <f t="shared" si="58"/>
        <v>0</v>
      </c>
      <c r="K290" s="309">
        <f t="shared" si="54"/>
        <v>0</v>
      </c>
      <c r="L290" s="308">
        <f t="shared" si="55"/>
        <v>1480</v>
      </c>
      <c r="M290" s="326">
        <f>Données!AE290</f>
        <v>1</v>
      </c>
      <c r="N290" s="308">
        <v>1</v>
      </c>
      <c r="O290" s="303">
        <f t="shared" si="48"/>
        <v>0</v>
      </c>
      <c r="P290" s="308">
        <f t="shared" si="56"/>
        <v>0</v>
      </c>
      <c r="Q290" s="309">
        <f t="shared" si="49"/>
        <v>22257.91623024533</v>
      </c>
      <c r="R290" s="308">
        <f t="shared" si="50"/>
        <v>0</v>
      </c>
      <c r="S290" s="302">
        <f t="shared" si="51"/>
        <v>0</v>
      </c>
      <c r="T290" s="303">
        <f t="shared" si="52"/>
        <v>0</v>
      </c>
      <c r="U290" s="327">
        <f t="shared" si="57"/>
        <v>22257.91623024533</v>
      </c>
    </row>
    <row r="291" spans="1:21" x14ac:dyDescent="0.25">
      <c r="A291" s="111">
        <f>Données!A291</f>
        <v>5921</v>
      </c>
      <c r="B291" s="112" t="str">
        <f>Données!B291</f>
        <v>Molondin</v>
      </c>
      <c r="C291" s="307">
        <f>Données!C291</f>
        <v>260</v>
      </c>
      <c r="D291" s="303">
        <f t="shared" si="53"/>
        <v>260</v>
      </c>
      <c r="E291" s="303">
        <f t="shared" si="58"/>
        <v>0</v>
      </c>
      <c r="F291" s="308">
        <f t="shared" si="58"/>
        <v>0</v>
      </c>
      <c r="G291" s="302">
        <f t="shared" si="58"/>
        <v>0</v>
      </c>
      <c r="H291" s="303">
        <f t="shared" si="58"/>
        <v>0</v>
      </c>
      <c r="I291" s="308">
        <f t="shared" si="58"/>
        <v>0</v>
      </c>
      <c r="J291" s="308">
        <f t="shared" si="58"/>
        <v>0</v>
      </c>
      <c r="K291" s="309">
        <f t="shared" si="54"/>
        <v>0</v>
      </c>
      <c r="L291" s="308">
        <f t="shared" si="55"/>
        <v>520</v>
      </c>
      <c r="M291" s="326">
        <f>Données!AE291</f>
        <v>0</v>
      </c>
      <c r="N291" s="308">
        <v>0</v>
      </c>
      <c r="O291" s="303">
        <f t="shared" si="48"/>
        <v>260</v>
      </c>
      <c r="P291" s="308">
        <f t="shared" si="56"/>
        <v>520</v>
      </c>
      <c r="Q291" s="309">
        <f t="shared" si="49"/>
        <v>7820.3489457618716</v>
      </c>
      <c r="R291" s="308">
        <f t="shared" si="50"/>
        <v>17133.967631143561</v>
      </c>
      <c r="S291" s="302">
        <f t="shared" si="51"/>
        <v>12739.575975088404</v>
      </c>
      <c r="T291" s="303">
        <f t="shared" si="52"/>
        <v>0</v>
      </c>
      <c r="U291" s="327">
        <f t="shared" si="57"/>
        <v>37693.892551993835</v>
      </c>
    </row>
    <row r="292" spans="1:21" x14ac:dyDescent="0.25">
      <c r="A292" s="111">
        <f>Données!A292</f>
        <v>5922</v>
      </c>
      <c r="B292" s="112" t="str">
        <f>Données!B292</f>
        <v>Montagny-près-Yverdon</v>
      </c>
      <c r="C292" s="307">
        <f>Données!C292</f>
        <v>768</v>
      </c>
      <c r="D292" s="303">
        <f t="shared" si="53"/>
        <v>768</v>
      </c>
      <c r="E292" s="303">
        <f t="shared" si="58"/>
        <v>0</v>
      </c>
      <c r="F292" s="308">
        <f t="shared" si="58"/>
        <v>0</v>
      </c>
      <c r="G292" s="302">
        <f t="shared" si="58"/>
        <v>0</v>
      </c>
      <c r="H292" s="303">
        <f t="shared" si="58"/>
        <v>0</v>
      </c>
      <c r="I292" s="308">
        <f t="shared" si="58"/>
        <v>0</v>
      </c>
      <c r="J292" s="308">
        <f t="shared" si="58"/>
        <v>0</v>
      </c>
      <c r="K292" s="309">
        <f t="shared" si="54"/>
        <v>0</v>
      </c>
      <c r="L292" s="308">
        <f t="shared" si="55"/>
        <v>1536</v>
      </c>
      <c r="M292" s="326">
        <f>Données!AE292</f>
        <v>0</v>
      </c>
      <c r="N292" s="308">
        <v>0</v>
      </c>
      <c r="O292" s="303">
        <f t="shared" si="48"/>
        <v>768</v>
      </c>
      <c r="P292" s="308">
        <f t="shared" si="56"/>
        <v>1536</v>
      </c>
      <c r="Q292" s="309">
        <f t="shared" si="49"/>
        <v>23100.107655173531</v>
      </c>
      <c r="R292" s="308">
        <f t="shared" si="50"/>
        <v>50611.104387377898</v>
      </c>
      <c r="S292" s="302">
        <f t="shared" si="51"/>
        <v>37630.747495645752</v>
      </c>
      <c r="T292" s="303">
        <f t="shared" si="52"/>
        <v>0</v>
      </c>
      <c r="U292" s="327">
        <f t="shared" si="57"/>
        <v>111341.95953819717</v>
      </c>
    </row>
    <row r="293" spans="1:21" x14ac:dyDescent="0.25">
      <c r="A293" s="111">
        <f>Données!A293</f>
        <v>5923</v>
      </c>
      <c r="B293" s="112" t="str">
        <f>Données!B293</f>
        <v>Oppens</v>
      </c>
      <c r="C293" s="307">
        <f>Données!C293</f>
        <v>201</v>
      </c>
      <c r="D293" s="303">
        <f t="shared" si="53"/>
        <v>201</v>
      </c>
      <c r="E293" s="303">
        <f t="shared" si="58"/>
        <v>0</v>
      </c>
      <c r="F293" s="308">
        <f t="shared" si="58"/>
        <v>0</v>
      </c>
      <c r="G293" s="302">
        <f t="shared" si="58"/>
        <v>0</v>
      </c>
      <c r="H293" s="303">
        <f t="shared" si="58"/>
        <v>0</v>
      </c>
      <c r="I293" s="308">
        <f t="shared" si="58"/>
        <v>0</v>
      </c>
      <c r="J293" s="308">
        <f t="shared" si="58"/>
        <v>0</v>
      </c>
      <c r="K293" s="309">
        <f t="shared" si="54"/>
        <v>0</v>
      </c>
      <c r="L293" s="308">
        <f t="shared" si="55"/>
        <v>402</v>
      </c>
      <c r="M293" s="326">
        <f>Données!AE293</f>
        <v>0</v>
      </c>
      <c r="N293" s="308">
        <v>0</v>
      </c>
      <c r="O293" s="303">
        <f t="shared" si="48"/>
        <v>201</v>
      </c>
      <c r="P293" s="308">
        <f t="shared" si="56"/>
        <v>402</v>
      </c>
      <c r="Q293" s="309">
        <f t="shared" si="49"/>
        <v>6045.731300377447</v>
      </c>
      <c r="R293" s="308">
        <f t="shared" si="50"/>
        <v>13245.874976384061</v>
      </c>
      <c r="S293" s="302">
        <f t="shared" si="51"/>
        <v>9848.6721961260355</v>
      </c>
      <c r="T293" s="303">
        <f t="shared" si="52"/>
        <v>0</v>
      </c>
      <c r="U293" s="327">
        <f t="shared" si="57"/>
        <v>29140.278472887541</v>
      </c>
    </row>
    <row r="294" spans="1:21" x14ac:dyDescent="0.25">
      <c r="A294" s="111">
        <f>Données!A294</f>
        <v>5924</v>
      </c>
      <c r="B294" s="112" t="str">
        <f>Données!B294</f>
        <v>Orges</v>
      </c>
      <c r="C294" s="307">
        <f>Données!C294</f>
        <v>416</v>
      </c>
      <c r="D294" s="303">
        <f t="shared" si="53"/>
        <v>416</v>
      </c>
      <c r="E294" s="303">
        <f t="shared" si="58"/>
        <v>0</v>
      </c>
      <c r="F294" s="308">
        <f t="shared" si="58"/>
        <v>0</v>
      </c>
      <c r="G294" s="302">
        <f t="shared" si="58"/>
        <v>0</v>
      </c>
      <c r="H294" s="303">
        <f t="shared" si="58"/>
        <v>0</v>
      </c>
      <c r="I294" s="308">
        <f t="shared" si="58"/>
        <v>0</v>
      </c>
      <c r="J294" s="308">
        <f t="shared" si="58"/>
        <v>0</v>
      </c>
      <c r="K294" s="309">
        <f t="shared" si="54"/>
        <v>0</v>
      </c>
      <c r="L294" s="308">
        <f t="shared" si="55"/>
        <v>832</v>
      </c>
      <c r="M294" s="326">
        <f>Données!AE294</f>
        <v>0</v>
      </c>
      <c r="N294" s="308">
        <v>0</v>
      </c>
      <c r="O294" s="303">
        <f t="shared" si="48"/>
        <v>416</v>
      </c>
      <c r="P294" s="308">
        <f t="shared" si="56"/>
        <v>832</v>
      </c>
      <c r="Q294" s="309">
        <f t="shared" si="49"/>
        <v>12512.558313218995</v>
      </c>
      <c r="R294" s="308">
        <f t="shared" si="50"/>
        <v>27414.348209829695</v>
      </c>
      <c r="S294" s="302">
        <f t="shared" si="51"/>
        <v>20383.321560141449</v>
      </c>
      <c r="T294" s="303">
        <f t="shared" si="52"/>
        <v>0</v>
      </c>
      <c r="U294" s="327">
        <f t="shared" si="57"/>
        <v>60310.228083190137</v>
      </c>
    </row>
    <row r="295" spans="1:21" x14ac:dyDescent="0.25">
      <c r="A295" s="111">
        <f>Données!A295</f>
        <v>5925</v>
      </c>
      <c r="B295" s="112" t="str">
        <f>Données!B295</f>
        <v>Orzens</v>
      </c>
      <c r="C295" s="307">
        <f>Données!C295</f>
        <v>216</v>
      </c>
      <c r="D295" s="303">
        <f t="shared" si="53"/>
        <v>216</v>
      </c>
      <c r="E295" s="303">
        <f t="shared" si="58"/>
        <v>0</v>
      </c>
      <c r="F295" s="308">
        <f t="shared" si="58"/>
        <v>0</v>
      </c>
      <c r="G295" s="302">
        <f t="shared" si="58"/>
        <v>0</v>
      </c>
      <c r="H295" s="303">
        <f t="shared" si="58"/>
        <v>0</v>
      </c>
      <c r="I295" s="308">
        <f t="shared" si="58"/>
        <v>0</v>
      </c>
      <c r="J295" s="308">
        <f t="shared" si="58"/>
        <v>0</v>
      </c>
      <c r="K295" s="309">
        <f t="shared" si="54"/>
        <v>0</v>
      </c>
      <c r="L295" s="308">
        <f t="shared" si="55"/>
        <v>432</v>
      </c>
      <c r="M295" s="326">
        <f>Données!AE295</f>
        <v>0</v>
      </c>
      <c r="N295" s="308">
        <v>0</v>
      </c>
      <c r="O295" s="303">
        <f t="shared" si="48"/>
        <v>216</v>
      </c>
      <c r="P295" s="308">
        <f t="shared" si="56"/>
        <v>432</v>
      </c>
      <c r="Q295" s="309">
        <f t="shared" si="49"/>
        <v>6496.9052780175552</v>
      </c>
      <c r="R295" s="308">
        <f t="shared" si="50"/>
        <v>14234.373108950034</v>
      </c>
      <c r="S295" s="302">
        <f t="shared" si="51"/>
        <v>10583.647733150367</v>
      </c>
      <c r="T295" s="303">
        <f t="shared" si="52"/>
        <v>0</v>
      </c>
      <c r="U295" s="327">
        <f t="shared" si="57"/>
        <v>31314.926120117958</v>
      </c>
    </row>
    <row r="296" spans="1:21" x14ac:dyDescent="0.25">
      <c r="A296" s="111">
        <f>Données!A296</f>
        <v>5926</v>
      </c>
      <c r="B296" s="112" t="str">
        <f>Données!B296</f>
        <v>Pomy</v>
      </c>
      <c r="C296" s="307">
        <f>Données!C296</f>
        <v>904</v>
      </c>
      <c r="D296" s="303">
        <f t="shared" si="53"/>
        <v>904</v>
      </c>
      <c r="E296" s="303">
        <f t="shared" si="58"/>
        <v>0</v>
      </c>
      <c r="F296" s="308">
        <f t="shared" si="58"/>
        <v>0</v>
      </c>
      <c r="G296" s="302">
        <f t="shared" si="58"/>
        <v>0</v>
      </c>
      <c r="H296" s="303">
        <f t="shared" si="58"/>
        <v>0</v>
      </c>
      <c r="I296" s="308">
        <f t="shared" si="58"/>
        <v>0</v>
      </c>
      <c r="J296" s="308">
        <f t="shared" si="58"/>
        <v>0</v>
      </c>
      <c r="K296" s="309">
        <f t="shared" si="54"/>
        <v>0</v>
      </c>
      <c r="L296" s="308">
        <f t="shared" si="55"/>
        <v>1808</v>
      </c>
      <c r="M296" s="326">
        <f>Données!AE296</f>
        <v>1</v>
      </c>
      <c r="N296" s="308">
        <v>1</v>
      </c>
      <c r="O296" s="303">
        <f t="shared" si="48"/>
        <v>0</v>
      </c>
      <c r="P296" s="308">
        <f t="shared" si="56"/>
        <v>0</v>
      </c>
      <c r="Q296" s="309">
        <f t="shared" si="49"/>
        <v>27190.751719110507</v>
      </c>
      <c r="R296" s="308">
        <f t="shared" si="50"/>
        <v>0</v>
      </c>
      <c r="S296" s="302">
        <f t="shared" si="51"/>
        <v>0</v>
      </c>
      <c r="T296" s="303">
        <f t="shared" si="52"/>
        <v>0</v>
      </c>
      <c r="U296" s="327">
        <f t="shared" si="57"/>
        <v>27190.751719110507</v>
      </c>
    </row>
    <row r="297" spans="1:21" x14ac:dyDescent="0.25">
      <c r="A297" s="111">
        <f>Données!A297</f>
        <v>5928</v>
      </c>
      <c r="B297" s="112" t="str">
        <f>Données!B297</f>
        <v>Rovray</v>
      </c>
      <c r="C297" s="307">
        <f>Données!C297</f>
        <v>198</v>
      </c>
      <c r="D297" s="303">
        <f t="shared" si="53"/>
        <v>198</v>
      </c>
      <c r="E297" s="303">
        <f t="shared" si="58"/>
        <v>0</v>
      </c>
      <c r="F297" s="308">
        <f t="shared" si="58"/>
        <v>0</v>
      </c>
      <c r="G297" s="302">
        <f t="shared" si="58"/>
        <v>0</v>
      </c>
      <c r="H297" s="303">
        <f t="shared" si="58"/>
        <v>0</v>
      </c>
      <c r="I297" s="308">
        <f t="shared" si="58"/>
        <v>0</v>
      </c>
      <c r="J297" s="308">
        <f t="shared" si="58"/>
        <v>0</v>
      </c>
      <c r="K297" s="309">
        <f t="shared" si="54"/>
        <v>0</v>
      </c>
      <c r="L297" s="308">
        <f t="shared" si="55"/>
        <v>396</v>
      </c>
      <c r="M297" s="326">
        <f>Données!AE297</f>
        <v>0</v>
      </c>
      <c r="N297" s="308">
        <v>0</v>
      </c>
      <c r="O297" s="303">
        <f t="shared" si="48"/>
        <v>198</v>
      </c>
      <c r="P297" s="308">
        <f t="shared" si="56"/>
        <v>396</v>
      </c>
      <c r="Q297" s="309">
        <f t="shared" si="49"/>
        <v>5955.4965048494259</v>
      </c>
      <c r="R297" s="308">
        <f t="shared" si="50"/>
        <v>13048.175349870866</v>
      </c>
      <c r="S297" s="302">
        <f t="shared" si="51"/>
        <v>9701.6770887211696</v>
      </c>
      <c r="T297" s="303">
        <f t="shared" si="52"/>
        <v>0</v>
      </c>
      <c r="U297" s="327">
        <f t="shared" si="57"/>
        <v>28705.348943441459</v>
      </c>
    </row>
    <row r="298" spans="1:21" x14ac:dyDescent="0.25">
      <c r="A298" s="111">
        <f>Données!A298</f>
        <v>5929</v>
      </c>
      <c r="B298" s="112" t="str">
        <f>Données!B298</f>
        <v>Suchy</v>
      </c>
      <c r="C298" s="307">
        <f>Données!C298</f>
        <v>672</v>
      </c>
      <c r="D298" s="303">
        <f t="shared" si="53"/>
        <v>672</v>
      </c>
      <c r="E298" s="303">
        <f t="shared" si="58"/>
        <v>0</v>
      </c>
      <c r="F298" s="308">
        <f t="shared" si="58"/>
        <v>0</v>
      </c>
      <c r="G298" s="302">
        <f t="shared" si="58"/>
        <v>0</v>
      </c>
      <c r="H298" s="303">
        <f t="shared" si="58"/>
        <v>0</v>
      </c>
      <c r="I298" s="308">
        <f t="shared" si="58"/>
        <v>0</v>
      </c>
      <c r="J298" s="308">
        <f t="shared" si="58"/>
        <v>0</v>
      </c>
      <c r="K298" s="309">
        <f t="shared" si="54"/>
        <v>0</v>
      </c>
      <c r="L298" s="308">
        <f t="shared" si="55"/>
        <v>1344</v>
      </c>
      <c r="M298" s="326">
        <f>Données!AE298</f>
        <v>1</v>
      </c>
      <c r="N298" s="308">
        <v>1</v>
      </c>
      <c r="O298" s="303">
        <f t="shared" si="48"/>
        <v>0</v>
      </c>
      <c r="P298" s="308">
        <f t="shared" si="56"/>
        <v>0</v>
      </c>
      <c r="Q298" s="309">
        <f t="shared" si="49"/>
        <v>20212.594198276838</v>
      </c>
      <c r="R298" s="308">
        <f t="shared" si="50"/>
        <v>0</v>
      </c>
      <c r="S298" s="302">
        <f t="shared" si="51"/>
        <v>0</v>
      </c>
      <c r="T298" s="303">
        <f t="shared" si="52"/>
        <v>0</v>
      </c>
      <c r="U298" s="327">
        <f t="shared" si="57"/>
        <v>20212.594198276838</v>
      </c>
    </row>
    <row r="299" spans="1:21" x14ac:dyDescent="0.25">
      <c r="A299" s="111">
        <f>Données!A299</f>
        <v>5930</v>
      </c>
      <c r="B299" s="112" t="str">
        <f>Données!B299</f>
        <v>Suscévaz</v>
      </c>
      <c r="C299" s="307">
        <f>Données!C299</f>
        <v>263</v>
      </c>
      <c r="D299" s="303">
        <f t="shared" si="53"/>
        <v>263</v>
      </c>
      <c r="E299" s="303">
        <f t="shared" si="58"/>
        <v>0</v>
      </c>
      <c r="F299" s="308">
        <f t="shared" si="58"/>
        <v>0</v>
      </c>
      <c r="G299" s="302">
        <f t="shared" si="58"/>
        <v>0</v>
      </c>
      <c r="H299" s="303">
        <f t="shared" si="58"/>
        <v>0</v>
      </c>
      <c r="I299" s="308">
        <f t="shared" si="58"/>
        <v>0</v>
      </c>
      <c r="J299" s="308">
        <f t="shared" si="58"/>
        <v>0</v>
      </c>
      <c r="K299" s="309">
        <f t="shared" si="54"/>
        <v>0</v>
      </c>
      <c r="L299" s="308">
        <f t="shared" si="55"/>
        <v>526</v>
      </c>
      <c r="M299" s="326">
        <f>Données!AE299</f>
        <v>1</v>
      </c>
      <c r="N299" s="308">
        <v>1</v>
      </c>
      <c r="O299" s="303">
        <f t="shared" si="48"/>
        <v>0</v>
      </c>
      <c r="P299" s="308">
        <f t="shared" si="56"/>
        <v>0</v>
      </c>
      <c r="Q299" s="309">
        <f t="shared" si="49"/>
        <v>7910.5837412898936</v>
      </c>
      <c r="R299" s="308">
        <f t="shared" si="50"/>
        <v>0</v>
      </c>
      <c r="S299" s="302">
        <f t="shared" si="51"/>
        <v>0</v>
      </c>
      <c r="T299" s="303">
        <f t="shared" si="52"/>
        <v>0</v>
      </c>
      <c r="U299" s="327">
        <f t="shared" si="57"/>
        <v>7910.5837412898936</v>
      </c>
    </row>
    <row r="300" spans="1:21" x14ac:dyDescent="0.25">
      <c r="A300" s="111">
        <f>Données!A300</f>
        <v>5931</v>
      </c>
      <c r="B300" s="112" t="str">
        <f>Données!B300</f>
        <v>Treycovagnes</v>
      </c>
      <c r="C300" s="307">
        <f>Données!C300</f>
        <v>518</v>
      </c>
      <c r="D300" s="303">
        <f t="shared" si="53"/>
        <v>518</v>
      </c>
      <c r="E300" s="303">
        <f t="shared" si="58"/>
        <v>0</v>
      </c>
      <c r="F300" s="308">
        <f t="shared" si="58"/>
        <v>0</v>
      </c>
      <c r="G300" s="302">
        <f t="shared" si="58"/>
        <v>0</v>
      </c>
      <c r="H300" s="303">
        <f t="shared" si="58"/>
        <v>0</v>
      </c>
      <c r="I300" s="308">
        <f t="shared" si="58"/>
        <v>0</v>
      </c>
      <c r="J300" s="308">
        <f t="shared" si="58"/>
        <v>0</v>
      </c>
      <c r="K300" s="309">
        <f t="shared" si="54"/>
        <v>0</v>
      </c>
      <c r="L300" s="308">
        <f t="shared" si="55"/>
        <v>1036</v>
      </c>
      <c r="M300" s="326">
        <f>Données!AE300</f>
        <v>1</v>
      </c>
      <c r="N300" s="308">
        <v>1</v>
      </c>
      <c r="O300" s="303">
        <f t="shared" si="48"/>
        <v>0</v>
      </c>
      <c r="P300" s="308">
        <f t="shared" si="56"/>
        <v>0</v>
      </c>
      <c r="Q300" s="309">
        <f t="shared" si="49"/>
        <v>15580.54136117173</v>
      </c>
      <c r="R300" s="308">
        <f t="shared" si="50"/>
        <v>0</v>
      </c>
      <c r="S300" s="302">
        <f t="shared" si="51"/>
        <v>0</v>
      </c>
      <c r="T300" s="303">
        <f t="shared" si="52"/>
        <v>0</v>
      </c>
      <c r="U300" s="327">
        <f t="shared" si="57"/>
        <v>15580.54136117173</v>
      </c>
    </row>
    <row r="301" spans="1:21" x14ac:dyDescent="0.25">
      <c r="A301" s="111">
        <f>Données!A301</f>
        <v>5932</v>
      </c>
      <c r="B301" s="112" t="str">
        <f>Données!B301</f>
        <v>Ursins</v>
      </c>
      <c r="C301" s="307">
        <f>Données!C301</f>
        <v>227</v>
      </c>
      <c r="D301" s="303">
        <f t="shared" si="53"/>
        <v>227</v>
      </c>
      <c r="E301" s="303">
        <f t="shared" si="58"/>
        <v>0</v>
      </c>
      <c r="F301" s="308">
        <f t="shared" si="58"/>
        <v>0</v>
      </c>
      <c r="G301" s="302">
        <f t="shared" si="58"/>
        <v>0</v>
      </c>
      <c r="H301" s="303">
        <f t="shared" si="58"/>
        <v>0</v>
      </c>
      <c r="I301" s="308">
        <f t="shared" si="58"/>
        <v>0</v>
      </c>
      <c r="J301" s="308">
        <f t="shared" si="58"/>
        <v>0</v>
      </c>
      <c r="K301" s="309">
        <f t="shared" si="54"/>
        <v>0</v>
      </c>
      <c r="L301" s="308">
        <f t="shared" si="55"/>
        <v>454</v>
      </c>
      <c r="M301" s="326">
        <f>Données!AE301</f>
        <v>0</v>
      </c>
      <c r="N301" s="308">
        <v>0</v>
      </c>
      <c r="O301" s="303">
        <f t="shared" si="48"/>
        <v>227</v>
      </c>
      <c r="P301" s="308">
        <f t="shared" si="56"/>
        <v>454</v>
      </c>
      <c r="Q301" s="309">
        <f t="shared" si="49"/>
        <v>6827.7661949536341</v>
      </c>
      <c r="R301" s="308">
        <f t="shared" si="50"/>
        <v>14959.271739498416</v>
      </c>
      <c r="S301" s="302">
        <f t="shared" si="51"/>
        <v>11122.629793634876</v>
      </c>
      <c r="T301" s="303">
        <f t="shared" si="52"/>
        <v>0</v>
      </c>
      <c r="U301" s="327">
        <f t="shared" si="57"/>
        <v>32909.667728086926</v>
      </c>
    </row>
    <row r="302" spans="1:21" x14ac:dyDescent="0.25">
      <c r="A302" s="111">
        <f>Données!A302</f>
        <v>5933</v>
      </c>
      <c r="B302" s="112" t="str">
        <f>Données!B302</f>
        <v>Valeyres-sous-Montagny</v>
      </c>
      <c r="C302" s="307">
        <f>Données!C302</f>
        <v>717</v>
      </c>
      <c r="D302" s="303">
        <f t="shared" si="53"/>
        <v>717</v>
      </c>
      <c r="E302" s="303">
        <f t="shared" si="58"/>
        <v>0</v>
      </c>
      <c r="F302" s="308">
        <f t="shared" si="58"/>
        <v>0</v>
      </c>
      <c r="G302" s="302">
        <f t="shared" si="58"/>
        <v>0</v>
      </c>
      <c r="H302" s="303">
        <f t="shared" si="58"/>
        <v>0</v>
      </c>
      <c r="I302" s="308">
        <f t="shared" si="58"/>
        <v>0</v>
      </c>
      <c r="J302" s="308">
        <f t="shared" si="58"/>
        <v>0</v>
      </c>
      <c r="K302" s="309">
        <f t="shared" si="54"/>
        <v>0</v>
      </c>
      <c r="L302" s="308">
        <f t="shared" si="55"/>
        <v>1434</v>
      </c>
      <c r="M302" s="326">
        <f>Données!AE302</f>
        <v>0</v>
      </c>
      <c r="N302" s="308">
        <v>0</v>
      </c>
      <c r="O302" s="303">
        <f t="shared" si="48"/>
        <v>717</v>
      </c>
      <c r="P302" s="308">
        <f t="shared" si="56"/>
        <v>1434</v>
      </c>
      <c r="Q302" s="309">
        <f t="shared" si="49"/>
        <v>21566.116131197163</v>
      </c>
      <c r="R302" s="308">
        <f t="shared" si="50"/>
        <v>47250.210736653586</v>
      </c>
      <c r="S302" s="302">
        <f t="shared" si="51"/>
        <v>35131.830669763025</v>
      </c>
      <c r="T302" s="303">
        <f t="shared" si="52"/>
        <v>0</v>
      </c>
      <c r="U302" s="327">
        <f t="shared" si="57"/>
        <v>103948.15753761376</v>
      </c>
    </row>
    <row r="303" spans="1:21" x14ac:dyDescent="0.25">
      <c r="A303" s="111">
        <f>Données!A303</f>
        <v>5934</v>
      </c>
      <c r="B303" s="112" t="str">
        <f>Données!B303</f>
        <v>Valeyres-sous-Ursins</v>
      </c>
      <c r="C303" s="307">
        <f>Données!C303</f>
        <v>225</v>
      </c>
      <c r="D303" s="303">
        <f t="shared" si="53"/>
        <v>225</v>
      </c>
      <c r="E303" s="303">
        <f t="shared" si="58"/>
        <v>0</v>
      </c>
      <c r="F303" s="308">
        <f t="shared" si="58"/>
        <v>0</v>
      </c>
      <c r="G303" s="302">
        <f t="shared" si="58"/>
        <v>0</v>
      </c>
      <c r="H303" s="303">
        <f t="shared" si="58"/>
        <v>0</v>
      </c>
      <c r="I303" s="308">
        <f t="shared" si="58"/>
        <v>0</v>
      </c>
      <c r="J303" s="308">
        <f t="shared" si="58"/>
        <v>0</v>
      </c>
      <c r="K303" s="309">
        <f t="shared" si="54"/>
        <v>0</v>
      </c>
      <c r="L303" s="308">
        <f t="shared" si="55"/>
        <v>450</v>
      </c>
      <c r="M303" s="326">
        <f>Données!AE303</f>
        <v>0</v>
      </c>
      <c r="N303" s="308">
        <v>0</v>
      </c>
      <c r="O303" s="303">
        <f t="shared" si="48"/>
        <v>225</v>
      </c>
      <c r="P303" s="308">
        <f t="shared" si="56"/>
        <v>450</v>
      </c>
      <c r="Q303" s="309">
        <f t="shared" si="49"/>
        <v>6767.6096646016204</v>
      </c>
      <c r="R303" s="308">
        <f t="shared" si="50"/>
        <v>14827.47198848962</v>
      </c>
      <c r="S303" s="302">
        <f t="shared" si="51"/>
        <v>11024.633055364966</v>
      </c>
      <c r="T303" s="303">
        <f t="shared" si="52"/>
        <v>0</v>
      </c>
      <c r="U303" s="327">
        <f t="shared" si="57"/>
        <v>32619.714708456209</v>
      </c>
    </row>
    <row r="304" spans="1:21" x14ac:dyDescent="0.25">
      <c r="A304" s="111">
        <f>Données!A304</f>
        <v>5935</v>
      </c>
      <c r="B304" s="112" t="str">
        <f>Données!B304</f>
        <v>Villars-Epeney</v>
      </c>
      <c r="C304" s="307">
        <f>Données!C304</f>
        <v>109</v>
      </c>
      <c r="D304" s="303">
        <f t="shared" si="53"/>
        <v>109</v>
      </c>
      <c r="E304" s="303">
        <f t="shared" si="58"/>
        <v>0</v>
      </c>
      <c r="F304" s="308">
        <f t="shared" si="58"/>
        <v>0</v>
      </c>
      <c r="G304" s="302">
        <f t="shared" si="58"/>
        <v>0</v>
      </c>
      <c r="H304" s="303">
        <f t="shared" si="58"/>
        <v>0</v>
      </c>
      <c r="I304" s="308">
        <f t="shared" si="58"/>
        <v>0</v>
      </c>
      <c r="J304" s="308">
        <f t="shared" si="58"/>
        <v>0</v>
      </c>
      <c r="K304" s="309">
        <f t="shared" si="54"/>
        <v>0</v>
      </c>
      <c r="L304" s="308">
        <f t="shared" si="55"/>
        <v>218</v>
      </c>
      <c r="M304" s="326">
        <f>Données!AE304</f>
        <v>0</v>
      </c>
      <c r="N304" s="308">
        <v>0</v>
      </c>
      <c r="O304" s="303">
        <f t="shared" si="48"/>
        <v>109</v>
      </c>
      <c r="P304" s="308">
        <f t="shared" si="56"/>
        <v>218</v>
      </c>
      <c r="Q304" s="309">
        <f t="shared" si="49"/>
        <v>3278.530904184785</v>
      </c>
      <c r="R304" s="308">
        <f t="shared" si="50"/>
        <v>7183.0864299794157</v>
      </c>
      <c r="S304" s="302">
        <f t="shared" si="51"/>
        <v>5340.8222357101386</v>
      </c>
      <c r="T304" s="303">
        <f t="shared" si="52"/>
        <v>0</v>
      </c>
      <c r="U304" s="327">
        <f t="shared" si="57"/>
        <v>15802.439569874339</v>
      </c>
    </row>
    <row r="305" spans="1:21" x14ac:dyDescent="0.25">
      <c r="A305" s="111">
        <f>Données!A305</f>
        <v>5937</v>
      </c>
      <c r="B305" s="112" t="str">
        <f>Données!B305</f>
        <v>Vugelles-La Mothe</v>
      </c>
      <c r="C305" s="307">
        <f>Données!C305</f>
        <v>142</v>
      </c>
      <c r="D305" s="303">
        <f t="shared" si="53"/>
        <v>142</v>
      </c>
      <c r="E305" s="303">
        <f t="shared" si="58"/>
        <v>0</v>
      </c>
      <c r="F305" s="308">
        <f t="shared" si="58"/>
        <v>0</v>
      </c>
      <c r="G305" s="302">
        <f t="shared" si="58"/>
        <v>0</v>
      </c>
      <c r="H305" s="303">
        <f t="shared" si="58"/>
        <v>0</v>
      </c>
      <c r="I305" s="308">
        <f t="shared" si="58"/>
        <v>0</v>
      </c>
      <c r="J305" s="308">
        <f t="shared" si="58"/>
        <v>0</v>
      </c>
      <c r="K305" s="309">
        <f t="shared" si="54"/>
        <v>0</v>
      </c>
      <c r="L305" s="308">
        <f t="shared" si="55"/>
        <v>284</v>
      </c>
      <c r="M305" s="326">
        <f>Données!AE305</f>
        <v>0</v>
      </c>
      <c r="N305" s="308">
        <v>0</v>
      </c>
      <c r="O305" s="303">
        <f t="shared" si="48"/>
        <v>142</v>
      </c>
      <c r="P305" s="308">
        <f t="shared" si="56"/>
        <v>284</v>
      </c>
      <c r="Q305" s="309">
        <f t="shared" si="49"/>
        <v>4271.1136549930225</v>
      </c>
      <c r="R305" s="308">
        <f t="shared" si="50"/>
        <v>9357.7823216245597</v>
      </c>
      <c r="S305" s="302">
        <f t="shared" si="51"/>
        <v>6957.7684171636674</v>
      </c>
      <c r="T305" s="303">
        <f t="shared" si="52"/>
        <v>0</v>
      </c>
      <c r="U305" s="327">
        <f t="shared" si="57"/>
        <v>20586.664393781251</v>
      </c>
    </row>
    <row r="306" spans="1:21" x14ac:dyDescent="0.25">
      <c r="A306" s="111">
        <f>Données!A306</f>
        <v>5938</v>
      </c>
      <c r="B306" s="112" t="str">
        <f>Données!B306</f>
        <v>Yverdon-les-Bains</v>
      </c>
      <c r="C306" s="307">
        <f>Données!C306</f>
        <v>30600</v>
      </c>
      <c r="D306" s="303">
        <f t="shared" si="53"/>
        <v>1000</v>
      </c>
      <c r="E306" s="303">
        <f t="shared" si="58"/>
        <v>2000</v>
      </c>
      <c r="F306" s="308">
        <f t="shared" si="58"/>
        <v>2000</v>
      </c>
      <c r="G306" s="302">
        <f t="shared" si="58"/>
        <v>7000</v>
      </c>
      <c r="H306" s="303">
        <f t="shared" si="58"/>
        <v>3000</v>
      </c>
      <c r="I306" s="308">
        <f t="shared" si="58"/>
        <v>15000</v>
      </c>
      <c r="J306" s="308">
        <f t="shared" si="58"/>
        <v>600</v>
      </c>
      <c r="K306" s="309">
        <f t="shared" si="54"/>
        <v>0</v>
      </c>
      <c r="L306" s="308">
        <f t="shared" si="55"/>
        <v>152200</v>
      </c>
      <c r="M306" s="326">
        <f>Données!AE306</f>
        <v>1</v>
      </c>
      <c r="N306" s="308">
        <v>1</v>
      </c>
      <c r="O306" s="303">
        <f t="shared" si="48"/>
        <v>0</v>
      </c>
      <c r="P306" s="308">
        <f t="shared" si="56"/>
        <v>0</v>
      </c>
      <c r="Q306" s="309">
        <f t="shared" si="49"/>
        <v>920394.91438582027</v>
      </c>
      <c r="R306" s="308">
        <f t="shared" si="50"/>
        <v>0</v>
      </c>
      <c r="S306" s="302">
        <f t="shared" si="51"/>
        <v>0</v>
      </c>
      <c r="T306" s="303">
        <f t="shared" si="52"/>
        <v>0</v>
      </c>
      <c r="U306" s="327">
        <f t="shared" si="57"/>
        <v>920394.91438582027</v>
      </c>
    </row>
    <row r="307" spans="1:21" x14ac:dyDescent="0.25">
      <c r="A307" s="113">
        <f>Données!A307</f>
        <v>5939</v>
      </c>
      <c r="B307" s="114" t="str">
        <f>Données!B307</f>
        <v>Yvonand</v>
      </c>
      <c r="C307" s="313">
        <f>Données!C307</f>
        <v>3536</v>
      </c>
      <c r="D307" s="303">
        <f t="shared" si="53"/>
        <v>1000</v>
      </c>
      <c r="E307" s="303">
        <f t="shared" si="58"/>
        <v>2000</v>
      </c>
      <c r="F307" s="308">
        <f t="shared" si="58"/>
        <v>536</v>
      </c>
      <c r="G307" s="302">
        <f t="shared" si="58"/>
        <v>0</v>
      </c>
      <c r="H307" s="303">
        <f t="shared" si="58"/>
        <v>0</v>
      </c>
      <c r="I307" s="308">
        <f t="shared" si="58"/>
        <v>0</v>
      </c>
      <c r="J307" s="308">
        <f t="shared" si="58"/>
        <v>0</v>
      </c>
      <c r="K307" s="309">
        <f t="shared" si="54"/>
        <v>0</v>
      </c>
      <c r="L307" s="308">
        <f t="shared" si="55"/>
        <v>9876</v>
      </c>
      <c r="M307" s="326">
        <f>Données!AE307</f>
        <v>0</v>
      </c>
      <c r="N307" s="308">
        <v>0</v>
      </c>
      <c r="O307" s="303">
        <f t="shared" si="48"/>
        <v>3536</v>
      </c>
      <c r="P307" s="308">
        <f t="shared" si="56"/>
        <v>9876</v>
      </c>
      <c r="Q307" s="309">
        <f t="shared" si="49"/>
        <v>106356.74566236146</v>
      </c>
      <c r="R307" s="308">
        <f t="shared" si="50"/>
        <v>233021.95978355242</v>
      </c>
      <c r="S307" s="302">
        <f t="shared" si="51"/>
        <v>241953.94678840978</v>
      </c>
      <c r="T307" s="314">
        <f t="shared" si="52"/>
        <v>0</v>
      </c>
      <c r="U307" s="329">
        <f t="shared" si="57"/>
        <v>581332.65223432367</v>
      </c>
    </row>
    <row r="308" spans="1:21" x14ac:dyDescent="0.25">
      <c r="A308" s="2"/>
      <c r="C308" s="315">
        <f>SUM(C8:C307)</f>
        <v>864226</v>
      </c>
      <c r="D308" s="330">
        <f t="shared" ref="D308:K308" si="59">SUM(D8:D307)</f>
        <v>217316</v>
      </c>
      <c r="E308" s="330">
        <f t="shared" si="59"/>
        <v>177344</v>
      </c>
      <c r="F308" s="330">
        <f t="shared" si="59"/>
        <v>93542</v>
      </c>
      <c r="G308" s="330">
        <f t="shared" si="59"/>
        <v>158776</v>
      </c>
      <c r="H308" s="330">
        <f t="shared" si="59"/>
        <v>30674</v>
      </c>
      <c r="I308" s="330">
        <f t="shared" si="59"/>
        <v>70267</v>
      </c>
      <c r="J308" s="321">
        <f t="shared" si="59"/>
        <v>15600</v>
      </c>
      <c r="K308" s="321">
        <f t="shared" si="59"/>
        <v>100707</v>
      </c>
      <c r="L308" s="321">
        <f t="shared" ref="L308:U308" si="60">SUM(L8:L307)</f>
        <v>3418993</v>
      </c>
      <c r="M308" s="331">
        <f t="shared" si="60"/>
        <v>49</v>
      </c>
      <c r="N308" s="321">
        <f>SUM(N8:N307)</f>
        <v>49</v>
      </c>
      <c r="O308" s="332">
        <f t="shared" si="60"/>
        <v>366278</v>
      </c>
      <c r="P308" s="332">
        <f t="shared" si="60"/>
        <v>985244</v>
      </c>
      <c r="Q308" s="321">
        <f t="shared" si="60"/>
        <v>25994418.800000012</v>
      </c>
      <c r="R308" s="321">
        <f t="shared" si="60"/>
        <v>24137674.600000005</v>
      </c>
      <c r="S308" s="321">
        <f t="shared" si="60"/>
        <v>24137674.60000002</v>
      </c>
      <c r="T308" s="315">
        <f>SUM(T8:T307)</f>
        <v>0</v>
      </c>
      <c r="U308" s="329">
        <f t="shared" si="60"/>
        <v>74269768.000000045</v>
      </c>
    </row>
    <row r="309" spans="1:21" x14ac:dyDescent="0.25">
      <c r="D309" s="50">
        <f>COUNTIF(D8:D307,"&gt;0")</f>
        <v>300</v>
      </c>
      <c r="E309" s="50">
        <f t="shared" ref="E309:K309" si="61">COUNTIF(E8:E307,"&gt;0")</f>
        <v>141</v>
      </c>
      <c r="F309" s="50">
        <f t="shared" si="61"/>
        <v>65</v>
      </c>
      <c r="G309" s="50">
        <f t="shared" si="61"/>
        <v>35</v>
      </c>
      <c r="H309" s="50">
        <f t="shared" si="61"/>
        <v>15</v>
      </c>
      <c r="I309" s="50">
        <f t="shared" si="61"/>
        <v>8</v>
      </c>
      <c r="J309" s="50">
        <f t="shared" si="61"/>
        <v>2</v>
      </c>
      <c r="K309" s="50">
        <f t="shared" si="61"/>
        <v>1</v>
      </c>
    </row>
    <row r="310" spans="1:21" ht="30" x14ac:dyDescent="0.25">
      <c r="Q310" s="217" t="s">
        <v>521</v>
      </c>
      <c r="R310" s="217" t="s">
        <v>519</v>
      </c>
      <c r="S310" s="217" t="s">
        <v>520</v>
      </c>
    </row>
    <row r="311" spans="1:21" x14ac:dyDescent="0.25">
      <c r="Q311" s="67">
        <f>Q308/C308</f>
        <v>30.078265176007214</v>
      </c>
      <c r="R311" s="67">
        <f>R308/O308</f>
        <v>65.89987550439831</v>
      </c>
      <c r="S311" s="65">
        <f>S308/P308</f>
        <v>24.499184567477723</v>
      </c>
    </row>
  </sheetData>
  <sheetProtection sheet="1" objects="1" scenarios="1"/>
  <mergeCells count="6">
    <mergeCell ref="D7:K7"/>
    <mergeCell ref="Q4:Q5"/>
    <mergeCell ref="Q2:S2"/>
    <mergeCell ref="R4:S4"/>
    <mergeCell ref="Q3:S3"/>
    <mergeCell ref="C3:K3"/>
  </mergeCells>
  <hyperlinks>
    <hyperlink ref="C1" location="PCS!A1" display="← Précédent" xr:uid="{9A4816EC-5221-46DD-A541-113875948F23}"/>
    <hyperlink ref="D1" location="'Table des matières'!A1" display="Table des matières" xr:uid="{7D03276D-F7D4-4D40-B79D-9C04F6024799}"/>
    <hyperlink ref="E1" location="Synthèse!A1" display="Suivant →" xr:uid="{98BED1BF-BF3B-4F0E-B23E-97461C05BE03}"/>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6</vt:i4>
      </vt:variant>
    </vt:vector>
  </HeadingPairs>
  <TitlesOfParts>
    <vt:vector size="20" baseType="lpstr">
      <vt:lpstr>Table des matières</vt:lpstr>
      <vt:lpstr>Paramètres</vt:lpstr>
      <vt:lpstr>Données</vt:lpstr>
      <vt:lpstr>RFS</vt:lpstr>
      <vt:lpstr>Ressources</vt:lpstr>
      <vt:lpstr>Besoins structurels</vt:lpstr>
      <vt:lpstr>Charges des villes</vt:lpstr>
      <vt:lpstr>PCS</vt:lpstr>
      <vt:lpstr>Police</vt:lpstr>
      <vt:lpstr>Synthèse</vt:lpstr>
      <vt:lpstr>Synthèse par commune</vt:lpstr>
      <vt:lpstr>Détail par commune</vt:lpstr>
      <vt:lpstr>Données par commune</vt:lpstr>
      <vt:lpstr>Prévisionnel</vt:lpstr>
      <vt:lpstr>Données!Impression_des_titres</vt:lpstr>
      <vt:lpstr>Ressources!Impression_des_titres</vt:lpstr>
      <vt:lpstr>RFS!Impression_des_titres</vt:lpstr>
      <vt:lpstr>'Détail par commune'!Zone_d_impression</vt:lpstr>
      <vt:lpstr>'Données par commune'!Zone_d_impression</vt:lpstr>
      <vt:lpstr>'Synthèse par commune'!Zone_d_impression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Cappelletti Fabio</dc:creator>
  <cp:lastModifiedBy>Cappelletti Fabio</cp:lastModifiedBy>
  <cp:lastPrinted>2026-03-30T07:34:52Z</cp:lastPrinted>
  <dcterms:created xsi:type="dcterms:W3CDTF">2022-09-02T12:13:21Z</dcterms:created>
  <dcterms:modified xsi:type="dcterms:W3CDTF">2026-05-07T07:48:38Z</dcterms:modified>
</cp:coreProperties>
</file>